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S:\GSSP\DSSP (Principal)\OS - ORGANIZAÇÃO SOCIAL\VERSÃO PARA PUBLICAÇÃO DO CHAMAMENTO\CONTEUDO DO CD\"/>
    </mc:Choice>
  </mc:AlternateContent>
  <bookViews>
    <workbookView xWindow="0" yWindow="0" windowWidth="19200" windowHeight="7755" tabRatio="895" activeTab="1"/>
  </bookViews>
  <sheets>
    <sheet name="SUMÁRIO EXECUTIVO" sheetId="44" r:id="rId1"/>
    <sheet name="CONSOLIDADO" sheetId="20" r:id="rId2"/>
    <sheet name="Pessoal Assistencial " sheetId="17" r:id="rId3"/>
    <sheet name="Custeio Administrativo" sheetId="50" r:id="rId4"/>
    <sheet name="Medicamentos" sheetId="1" r:id="rId5"/>
    <sheet name="Material de Consumo" sheetId="21" r:id="rId6"/>
    <sheet name="Odonto e Material de Consumo" sheetId="23" r:id="rId7"/>
    <sheet name="Odonto Instrumental Recorrente" sheetId="41" r:id="rId8"/>
    <sheet name="Exames Laboratoriais" sheetId="45" r:id="rId9"/>
    <sheet name="Manutenção" sheetId="36" r:id="rId10"/>
    <sheet name="Serviços de Apoio" sheetId="15" r:id="rId11"/>
    <sheet name="Estruturação de Informática" sheetId="49" r:id="rId12"/>
    <sheet name="Material de Saúde" sheetId="33" r:id="rId13"/>
    <sheet name="Saúde Instrumental" sheetId="25" r:id="rId14"/>
    <sheet name="Odonto Instrumental" sheetId="34" r:id="rId15"/>
    <sheet name="Montagem Sala de Vacina" sheetId="28" r:id="rId16"/>
    <sheet name="Montagem Consultório Odonto" sheetId="24" r:id="rId17"/>
    <sheet name="Montagem Central Ambulâncias" sheetId="30" r:id="rId18"/>
    <sheet name="Montagem Ambulatório" sheetId="51" r:id="rId19"/>
    <sheet name="Especificações das Adequações" sheetId="37" r:id="rId20"/>
  </sheets>
  <definedNames>
    <definedName name="_xlnm._FilterDatabase" localSheetId="1" hidden="1">CONSOLIDADO!$A$5:$F$5</definedName>
    <definedName name="_xlnm._FilterDatabase" localSheetId="8" hidden="1">'Exames Laboratoriais'!$A$1:$C$2</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0" i="37" l="1"/>
  <c r="F4" i="37"/>
  <c r="F10" i="37"/>
  <c r="G21" i="51"/>
  <c r="E16" i="24"/>
  <c r="E25" i="28"/>
  <c r="E68" i="34"/>
  <c r="F24" i="25"/>
  <c r="H46" i="33"/>
  <c r="E19" i="49"/>
  <c r="E121" i="45"/>
  <c r="F121" i="45"/>
  <c r="E35" i="41"/>
  <c r="F35" i="41"/>
  <c r="E89" i="23"/>
  <c r="F89" i="23"/>
  <c r="I147" i="21"/>
  <c r="J147" i="21"/>
  <c r="I212" i="1"/>
  <c r="J212" i="1"/>
  <c r="C44" i="50"/>
  <c r="D44" i="50"/>
  <c r="D48" i="50"/>
  <c r="C48" i="50"/>
  <c r="C19" i="50"/>
  <c r="N4" i="50"/>
  <c r="N5" i="50"/>
  <c r="N6" i="50"/>
  <c r="N8" i="50"/>
  <c r="N9" i="50"/>
  <c r="N19" i="50"/>
  <c r="O4" i="50"/>
  <c r="O5" i="50"/>
  <c r="O6" i="50"/>
  <c r="O8" i="50"/>
  <c r="O9" i="50"/>
  <c r="O19" i="50"/>
  <c r="M4" i="50"/>
  <c r="J4" i="50"/>
  <c r="H4" i="50"/>
  <c r="N36" i="17"/>
  <c r="O36" i="17"/>
  <c r="D23" i="50"/>
  <c r="D24" i="50"/>
  <c r="D25" i="50"/>
  <c r="D26" i="50"/>
  <c r="D27" i="50"/>
  <c r="D28" i="50"/>
  <c r="D29" i="50"/>
  <c r="D30" i="50"/>
  <c r="D31" i="50"/>
  <c r="D32" i="50"/>
  <c r="D33" i="50"/>
  <c r="D34" i="50"/>
  <c r="D35" i="50"/>
  <c r="D36" i="50"/>
  <c r="D37" i="50"/>
  <c r="D38" i="50"/>
  <c r="D39" i="50"/>
  <c r="D40" i="50"/>
  <c r="D41" i="50"/>
  <c r="D42" i="50"/>
  <c r="D43" i="50"/>
  <c r="H11" i="50"/>
  <c r="J11" i="50"/>
  <c r="M11" i="50"/>
  <c r="N11" i="50"/>
  <c r="O11" i="50"/>
  <c r="F7" i="20"/>
  <c r="F4" i="15"/>
  <c r="F14" i="20"/>
  <c r="F10" i="20"/>
  <c r="G50" i="36"/>
  <c r="F13" i="20"/>
  <c r="F15" i="20"/>
  <c r="G6" i="20"/>
  <c r="G15" i="20"/>
  <c r="E4" i="34"/>
  <c r="E21" i="20"/>
  <c r="E18" i="20"/>
  <c r="E19" i="20"/>
  <c r="E22" i="20"/>
  <c r="E23" i="20"/>
  <c r="E25" i="20"/>
  <c r="E26" i="20"/>
  <c r="E27" i="20"/>
  <c r="F18" i="20"/>
  <c r="F19" i="20"/>
  <c r="F20" i="20"/>
  <c r="F21" i="20"/>
  <c r="F22" i="20"/>
  <c r="F23" i="20"/>
  <c r="F24" i="20"/>
  <c r="F25" i="20"/>
  <c r="F26" i="20"/>
  <c r="F27" i="20"/>
  <c r="F9" i="37"/>
  <c r="F8" i="37"/>
  <c r="F7" i="37"/>
  <c r="F6" i="37"/>
  <c r="F5" i="37"/>
  <c r="G11" i="51"/>
  <c r="G4" i="51"/>
  <c r="E16" i="30"/>
  <c r="E4" i="24"/>
  <c r="E4" i="28"/>
  <c r="F4" i="25"/>
  <c r="H5" i="33"/>
  <c r="H4" i="33"/>
  <c r="E20" i="20"/>
  <c r="E24" i="20"/>
  <c r="E4" i="49"/>
  <c r="G14" i="20"/>
  <c r="G13" i="20"/>
  <c r="G12" i="20"/>
  <c r="E12" i="20"/>
  <c r="G11" i="20"/>
  <c r="G10" i="20"/>
  <c r="G9" i="20"/>
  <c r="I46" i="21"/>
  <c r="F8" i="20"/>
  <c r="E8" i="20"/>
  <c r="I168" i="1"/>
  <c r="I110" i="1"/>
  <c r="I34" i="1"/>
  <c r="J34" i="1"/>
  <c r="J110" i="1"/>
  <c r="J168" i="1"/>
  <c r="J46" i="21"/>
  <c r="F9" i="20"/>
  <c r="G8" i="20"/>
  <c r="G7" i="20"/>
  <c r="E6" i="20"/>
  <c r="O4" i="17"/>
  <c r="N4" i="17"/>
  <c r="H4" i="17"/>
  <c r="J4" i="17"/>
  <c r="M4" i="17"/>
  <c r="D9" i="37"/>
  <c r="D7" i="37"/>
  <c r="D6" i="37"/>
  <c r="D5" i="37"/>
  <c r="D4" i="37"/>
  <c r="G5" i="51"/>
  <c r="G6" i="51"/>
  <c r="G7" i="51"/>
  <c r="G8" i="51"/>
  <c r="G9" i="51"/>
  <c r="G10" i="51"/>
  <c r="G12" i="51"/>
  <c r="G13" i="51"/>
  <c r="G14" i="51"/>
  <c r="G15" i="51"/>
  <c r="G16" i="51"/>
  <c r="G17" i="51"/>
  <c r="G18" i="51"/>
  <c r="G19" i="51"/>
  <c r="G20" i="51"/>
  <c r="E4" i="51"/>
  <c r="E5" i="51"/>
  <c r="E6" i="51"/>
  <c r="E7" i="51"/>
  <c r="E8" i="51"/>
  <c r="E9" i="51"/>
  <c r="E10" i="51"/>
  <c r="E11" i="51"/>
  <c r="E12" i="51"/>
  <c r="E13" i="51"/>
  <c r="E14" i="51"/>
  <c r="E15" i="51"/>
  <c r="E16" i="51"/>
  <c r="E17" i="51"/>
  <c r="E18" i="51"/>
  <c r="E19" i="51"/>
  <c r="E20" i="51"/>
  <c r="E21" i="51"/>
  <c r="D21" i="51"/>
  <c r="C21" i="51"/>
  <c r="E14" i="20"/>
  <c r="F50" i="36"/>
  <c r="H34" i="17"/>
  <c r="J34" i="17"/>
  <c r="M34" i="17"/>
  <c r="N34" i="17"/>
  <c r="O34" i="17"/>
  <c r="C6" i="17"/>
  <c r="C29" i="17"/>
  <c r="C36" i="17"/>
  <c r="E33" i="41"/>
  <c r="E28" i="41"/>
  <c r="E27" i="41"/>
  <c r="E26" i="41"/>
  <c r="E34" i="41"/>
  <c r="E32" i="41"/>
  <c r="E31" i="41"/>
  <c r="E60" i="23"/>
  <c r="E57" i="23"/>
  <c r="E56" i="23"/>
  <c r="E38" i="23"/>
  <c r="E35" i="23"/>
  <c r="E86" i="23"/>
  <c r="E85" i="23"/>
  <c r="E84" i="23"/>
  <c r="E65" i="23"/>
  <c r="E64" i="23"/>
  <c r="E47" i="23"/>
  <c r="E46" i="23"/>
  <c r="E58" i="23"/>
  <c r="E24" i="23"/>
  <c r="E23" i="23"/>
  <c r="E4" i="23"/>
  <c r="H5" i="17"/>
  <c r="J5" i="17"/>
  <c r="M5" i="17"/>
  <c r="N5" i="17"/>
  <c r="H6" i="17"/>
  <c r="J6" i="17"/>
  <c r="M6" i="17"/>
  <c r="N6" i="17"/>
  <c r="H7" i="17"/>
  <c r="J7" i="17"/>
  <c r="M7" i="17"/>
  <c r="N7" i="17"/>
  <c r="H8" i="17"/>
  <c r="J8" i="17"/>
  <c r="M8" i="17"/>
  <c r="N8" i="17"/>
  <c r="H9" i="17"/>
  <c r="J9" i="17"/>
  <c r="M9" i="17"/>
  <c r="N9" i="17"/>
  <c r="H10" i="17"/>
  <c r="J10" i="17"/>
  <c r="M10" i="17"/>
  <c r="N10" i="17"/>
  <c r="H11" i="17"/>
  <c r="J11" i="17"/>
  <c r="M11" i="17"/>
  <c r="N11" i="17"/>
  <c r="H12" i="17"/>
  <c r="J12" i="17"/>
  <c r="M12" i="17"/>
  <c r="N12" i="17"/>
  <c r="H13" i="17"/>
  <c r="J13" i="17"/>
  <c r="M13" i="17"/>
  <c r="N13" i="17"/>
  <c r="H14" i="17"/>
  <c r="J14" i="17"/>
  <c r="M14" i="17"/>
  <c r="N14" i="17"/>
  <c r="H15" i="17"/>
  <c r="J15" i="17"/>
  <c r="M15" i="17"/>
  <c r="N15" i="17"/>
  <c r="H16" i="17"/>
  <c r="J16" i="17"/>
  <c r="M16" i="17"/>
  <c r="N16" i="17"/>
  <c r="H17" i="17"/>
  <c r="J17" i="17"/>
  <c r="M17" i="17"/>
  <c r="N17" i="17"/>
  <c r="H18" i="17"/>
  <c r="J18" i="17"/>
  <c r="M18" i="17"/>
  <c r="N18" i="17"/>
  <c r="H19" i="17"/>
  <c r="J19" i="17"/>
  <c r="M19" i="17"/>
  <c r="N19" i="17"/>
  <c r="H20" i="17"/>
  <c r="J20" i="17"/>
  <c r="M20" i="17"/>
  <c r="N20" i="17"/>
  <c r="H21" i="17"/>
  <c r="J21" i="17"/>
  <c r="M21" i="17"/>
  <c r="N21" i="17"/>
  <c r="H22" i="17"/>
  <c r="J22" i="17"/>
  <c r="M22" i="17"/>
  <c r="N22" i="17"/>
  <c r="H23" i="17"/>
  <c r="J23" i="17"/>
  <c r="M23" i="17"/>
  <c r="N23" i="17"/>
  <c r="H24" i="17"/>
  <c r="J24" i="17"/>
  <c r="M24" i="17"/>
  <c r="N24" i="17"/>
  <c r="H25" i="17"/>
  <c r="J25" i="17"/>
  <c r="M25" i="17"/>
  <c r="N25" i="17"/>
  <c r="H26" i="17"/>
  <c r="J26" i="17"/>
  <c r="M26" i="17"/>
  <c r="N26" i="17"/>
  <c r="H27" i="17"/>
  <c r="J27" i="17"/>
  <c r="M27" i="17"/>
  <c r="N27" i="17"/>
  <c r="H28" i="17"/>
  <c r="J28" i="17"/>
  <c r="M28" i="17"/>
  <c r="N28" i="17"/>
  <c r="H29" i="17"/>
  <c r="J29" i="17"/>
  <c r="M29" i="17"/>
  <c r="N29" i="17"/>
  <c r="H30" i="17"/>
  <c r="J30" i="17"/>
  <c r="M30" i="17"/>
  <c r="N30" i="17"/>
  <c r="H31" i="17"/>
  <c r="J31" i="17"/>
  <c r="M31" i="17"/>
  <c r="N31" i="17"/>
  <c r="H32" i="17"/>
  <c r="J32" i="17"/>
  <c r="M32" i="17"/>
  <c r="N32" i="17"/>
  <c r="H33" i="17"/>
  <c r="J33" i="17"/>
  <c r="M33" i="17"/>
  <c r="N33" i="17"/>
  <c r="H35" i="17"/>
  <c r="J35" i="17"/>
  <c r="M35" i="17"/>
  <c r="N35" i="17"/>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4" i="21"/>
  <c r="I5" i="21"/>
  <c r="I6" i="21"/>
  <c r="I7" i="21"/>
  <c r="I8" i="21"/>
  <c r="I9" i="21"/>
  <c r="I10" i="21"/>
  <c r="I11" i="21"/>
  <c r="I12" i="21"/>
  <c r="I13" i="21"/>
  <c r="I14" i="21"/>
  <c r="I15" i="21"/>
  <c r="I16" i="21"/>
  <c r="I17" i="21"/>
  <c r="I18" i="21"/>
  <c r="I19" i="21"/>
  <c r="I20" i="21"/>
  <c r="I21" i="21"/>
  <c r="I22" i="21"/>
  <c r="I23" i="21"/>
  <c r="I24" i="21"/>
  <c r="I25" i="21"/>
  <c r="I26" i="21"/>
  <c r="I27" i="21"/>
  <c r="I28" i="21"/>
  <c r="I29" i="21"/>
  <c r="I30" i="21"/>
  <c r="I31" i="21"/>
  <c r="I32" i="21"/>
  <c r="I33" i="21"/>
  <c r="I34" i="21"/>
  <c r="I35" i="21"/>
  <c r="I36" i="21"/>
  <c r="I37" i="21"/>
  <c r="I38" i="21"/>
  <c r="I39" i="21"/>
  <c r="I40" i="21"/>
  <c r="I41" i="21"/>
  <c r="I42" i="21"/>
  <c r="I43" i="21"/>
  <c r="I44" i="21"/>
  <c r="I45" i="21"/>
  <c r="I47" i="21"/>
  <c r="I48" i="21"/>
  <c r="I49" i="21"/>
  <c r="I50" i="21"/>
  <c r="I51" i="21"/>
  <c r="I52" i="21"/>
  <c r="I53" i="21"/>
  <c r="I54" i="21"/>
  <c r="I55" i="21"/>
  <c r="I56" i="21"/>
  <c r="I57" i="21"/>
  <c r="I58" i="21"/>
  <c r="I59" i="21"/>
  <c r="I60" i="21"/>
  <c r="I61" i="21"/>
  <c r="I62" i="21"/>
  <c r="I63" i="21"/>
  <c r="I64" i="21"/>
  <c r="I65" i="21"/>
  <c r="I66" i="21"/>
  <c r="I67" i="21"/>
  <c r="I68" i="21"/>
  <c r="I69" i="21"/>
  <c r="I70" i="21"/>
  <c r="I71" i="21"/>
  <c r="I72" i="21"/>
  <c r="I73" i="21"/>
  <c r="I74" i="21"/>
  <c r="I75" i="21"/>
  <c r="I76" i="21"/>
  <c r="I77" i="21"/>
  <c r="I78" i="21"/>
  <c r="I79" i="21"/>
  <c r="I80" i="21"/>
  <c r="I81" i="21"/>
  <c r="I82" i="21"/>
  <c r="I83" i="21"/>
  <c r="I84" i="21"/>
  <c r="I85" i="21"/>
  <c r="I86" i="21"/>
  <c r="I87" i="21"/>
  <c r="I88" i="21"/>
  <c r="I89" i="21"/>
  <c r="I90" i="21"/>
  <c r="I91" i="21"/>
  <c r="I92" i="21"/>
  <c r="I93" i="21"/>
  <c r="I94" i="21"/>
  <c r="I95" i="21"/>
  <c r="I96" i="21"/>
  <c r="I97" i="21"/>
  <c r="I98" i="21"/>
  <c r="I99" i="21"/>
  <c r="I100" i="21"/>
  <c r="I101" i="21"/>
  <c r="I102" i="21"/>
  <c r="I103" i="21"/>
  <c r="I104" i="21"/>
  <c r="I105" i="21"/>
  <c r="I106" i="21"/>
  <c r="I107" i="21"/>
  <c r="I108" i="21"/>
  <c r="I109" i="21"/>
  <c r="I110" i="21"/>
  <c r="I111" i="21"/>
  <c r="I112" i="21"/>
  <c r="I113" i="21"/>
  <c r="I114" i="21"/>
  <c r="I115" i="21"/>
  <c r="I116" i="21"/>
  <c r="I117" i="21"/>
  <c r="I118" i="21"/>
  <c r="I119" i="21"/>
  <c r="I120" i="21"/>
  <c r="I121" i="21"/>
  <c r="I122" i="21"/>
  <c r="I123" i="21"/>
  <c r="I124" i="21"/>
  <c r="I125" i="21"/>
  <c r="I126" i="21"/>
  <c r="I127" i="21"/>
  <c r="I128" i="21"/>
  <c r="I129" i="21"/>
  <c r="I130" i="21"/>
  <c r="I131" i="21"/>
  <c r="I132" i="21"/>
  <c r="I133" i="21"/>
  <c r="I134" i="21"/>
  <c r="I135" i="21"/>
  <c r="I136" i="21"/>
  <c r="I137" i="21"/>
  <c r="I138" i="21"/>
  <c r="I139" i="21"/>
  <c r="I140" i="21"/>
  <c r="I141" i="21"/>
  <c r="I142" i="21"/>
  <c r="I143" i="21"/>
  <c r="I144" i="21"/>
  <c r="I145" i="21"/>
  <c r="I146" i="21"/>
  <c r="E9" i="20"/>
  <c r="E5" i="23"/>
  <c r="E6" i="23"/>
  <c r="E7" i="23"/>
  <c r="E8" i="23"/>
  <c r="E9" i="23"/>
  <c r="E10" i="23"/>
  <c r="E11" i="23"/>
  <c r="E12" i="23"/>
  <c r="E13" i="23"/>
  <c r="E14" i="23"/>
  <c r="E15" i="23"/>
  <c r="E16" i="23"/>
  <c r="E17" i="23"/>
  <c r="E18" i="23"/>
  <c r="E19" i="23"/>
  <c r="E20" i="23"/>
  <c r="E21" i="23"/>
  <c r="E22" i="23"/>
  <c r="E25" i="23"/>
  <c r="E26" i="23"/>
  <c r="E27" i="23"/>
  <c r="E28" i="23"/>
  <c r="E29" i="23"/>
  <c r="E30" i="23"/>
  <c r="E31" i="23"/>
  <c r="E32" i="23"/>
  <c r="E33" i="23"/>
  <c r="E34" i="23"/>
  <c r="E36" i="23"/>
  <c r="E37" i="23"/>
  <c r="E39" i="23"/>
  <c r="E40" i="23"/>
  <c r="E41" i="23"/>
  <c r="E42" i="23"/>
  <c r="E43" i="23"/>
  <c r="E44" i="23"/>
  <c r="E45" i="23"/>
  <c r="E48" i="23"/>
  <c r="E49" i="23"/>
  <c r="E50" i="23"/>
  <c r="E51" i="23"/>
  <c r="E52" i="23"/>
  <c r="E53" i="23"/>
  <c r="E54" i="23"/>
  <c r="E55" i="23"/>
  <c r="E59" i="23"/>
  <c r="E61" i="23"/>
  <c r="E62" i="23"/>
  <c r="E63" i="23"/>
  <c r="E66" i="23"/>
  <c r="E67" i="23"/>
  <c r="E68" i="23"/>
  <c r="E69" i="23"/>
  <c r="E70" i="23"/>
  <c r="E71" i="23"/>
  <c r="E72" i="23"/>
  <c r="E73" i="23"/>
  <c r="E74" i="23"/>
  <c r="E75" i="23"/>
  <c r="E76" i="23"/>
  <c r="E77" i="23"/>
  <c r="E78" i="23"/>
  <c r="E79" i="23"/>
  <c r="E80" i="23"/>
  <c r="E81" i="23"/>
  <c r="E82" i="23"/>
  <c r="E83" i="23"/>
  <c r="E87" i="23"/>
  <c r="E88" i="23"/>
  <c r="E10" i="20"/>
  <c r="E4" i="41"/>
  <c r="E5" i="41"/>
  <c r="E6" i="41"/>
  <c r="E7" i="41"/>
  <c r="E8" i="41"/>
  <c r="E9" i="41"/>
  <c r="E10" i="41"/>
  <c r="E11" i="41"/>
  <c r="E12" i="41"/>
  <c r="E13" i="41"/>
  <c r="E14" i="41"/>
  <c r="E15" i="41"/>
  <c r="E16" i="41"/>
  <c r="E17" i="41"/>
  <c r="E18" i="41"/>
  <c r="E19" i="41"/>
  <c r="E20" i="41"/>
  <c r="E21" i="41"/>
  <c r="E22" i="41"/>
  <c r="E23" i="41"/>
  <c r="E24" i="41"/>
  <c r="E25" i="41"/>
  <c r="E29" i="41"/>
  <c r="E30" i="41"/>
  <c r="E11" i="20"/>
  <c r="E4" i="45"/>
  <c r="E5" i="45"/>
  <c r="E6" i="45"/>
  <c r="E7" i="45"/>
  <c r="E8" i="45"/>
  <c r="E9" i="45"/>
  <c r="E10" i="45"/>
  <c r="E11" i="45"/>
  <c r="E12" i="45"/>
  <c r="E13" i="45"/>
  <c r="E14" i="45"/>
  <c r="E15" i="45"/>
  <c r="E16" i="45"/>
  <c r="E17" i="45"/>
  <c r="E18" i="45"/>
  <c r="E19" i="45"/>
  <c r="E20" i="45"/>
  <c r="E21" i="45"/>
  <c r="E22" i="45"/>
  <c r="E23" i="45"/>
  <c r="E24" i="45"/>
  <c r="E25" i="45"/>
  <c r="E26" i="45"/>
  <c r="E27" i="45"/>
  <c r="E28" i="45"/>
  <c r="E29" i="45"/>
  <c r="E30" i="45"/>
  <c r="E31" i="45"/>
  <c r="E32" i="45"/>
  <c r="E33" i="45"/>
  <c r="E34" i="45"/>
  <c r="E35" i="45"/>
  <c r="E36" i="45"/>
  <c r="E37" i="45"/>
  <c r="E38" i="45"/>
  <c r="E39" i="45"/>
  <c r="E40" i="45"/>
  <c r="E41" i="45"/>
  <c r="E42" i="45"/>
  <c r="E43" i="45"/>
  <c r="E44" i="45"/>
  <c r="E45" i="45"/>
  <c r="E46" i="45"/>
  <c r="E47" i="45"/>
  <c r="E48" i="45"/>
  <c r="E49" i="45"/>
  <c r="E50" i="45"/>
  <c r="E51" i="45"/>
  <c r="E52" i="45"/>
  <c r="E53" i="45"/>
  <c r="E54" i="45"/>
  <c r="E55" i="45"/>
  <c r="E56" i="45"/>
  <c r="E57" i="45"/>
  <c r="E58" i="45"/>
  <c r="E59" i="45"/>
  <c r="E60" i="45"/>
  <c r="E61" i="45"/>
  <c r="E62" i="45"/>
  <c r="E63" i="45"/>
  <c r="E64" i="45"/>
  <c r="E65" i="45"/>
  <c r="E66" i="45"/>
  <c r="E67" i="45"/>
  <c r="E68" i="45"/>
  <c r="E69" i="45"/>
  <c r="E70" i="45"/>
  <c r="E71" i="45"/>
  <c r="E72" i="45"/>
  <c r="E73" i="45"/>
  <c r="E74" i="45"/>
  <c r="E75" i="45"/>
  <c r="E76" i="45"/>
  <c r="E77" i="45"/>
  <c r="E78" i="45"/>
  <c r="E79" i="45"/>
  <c r="E80" i="45"/>
  <c r="E81" i="45"/>
  <c r="E82" i="45"/>
  <c r="E83" i="45"/>
  <c r="E84" i="45"/>
  <c r="E85" i="45"/>
  <c r="E86" i="45"/>
  <c r="E87" i="45"/>
  <c r="E88" i="45"/>
  <c r="E89" i="45"/>
  <c r="E90" i="45"/>
  <c r="E91" i="45"/>
  <c r="E92" i="45"/>
  <c r="E93" i="45"/>
  <c r="E94" i="45"/>
  <c r="E95" i="45"/>
  <c r="E96" i="45"/>
  <c r="E97" i="45"/>
  <c r="E98" i="45"/>
  <c r="E99" i="45"/>
  <c r="E100" i="45"/>
  <c r="E101" i="45"/>
  <c r="E102" i="45"/>
  <c r="E103" i="45"/>
  <c r="E104" i="45"/>
  <c r="E105" i="45"/>
  <c r="E106" i="45"/>
  <c r="E107" i="45"/>
  <c r="E108" i="45"/>
  <c r="E109" i="45"/>
  <c r="E110" i="45"/>
  <c r="E111" i="45"/>
  <c r="E112" i="45"/>
  <c r="E113" i="45"/>
  <c r="E114" i="45"/>
  <c r="E115" i="45"/>
  <c r="E116" i="45"/>
  <c r="E117" i="45"/>
  <c r="E118" i="45"/>
  <c r="E119" i="45"/>
  <c r="E120" i="45"/>
  <c r="F5" i="36"/>
  <c r="F6" i="36"/>
  <c r="F7" i="36"/>
  <c r="F8" i="36"/>
  <c r="F9" i="36"/>
  <c r="F10" i="36"/>
  <c r="F11" i="36"/>
  <c r="F12" i="36"/>
  <c r="F13" i="36"/>
  <c r="F14" i="36"/>
  <c r="F15" i="36"/>
  <c r="F16" i="36"/>
  <c r="F17" i="36"/>
  <c r="F18" i="36"/>
  <c r="F19" i="36"/>
  <c r="F20" i="36"/>
  <c r="F21" i="36"/>
  <c r="F22" i="36"/>
  <c r="F23" i="36"/>
  <c r="F24" i="36"/>
  <c r="F25" i="36"/>
  <c r="F26" i="36"/>
  <c r="F27" i="36"/>
  <c r="F28" i="36"/>
  <c r="F29" i="36"/>
  <c r="F30" i="36"/>
  <c r="F32" i="36"/>
  <c r="F35" i="36"/>
  <c r="F36" i="36"/>
  <c r="F37" i="36"/>
  <c r="F39" i="36"/>
  <c r="F40" i="36"/>
  <c r="F41" i="36"/>
  <c r="F42" i="36"/>
  <c r="F44" i="36"/>
  <c r="F45" i="36"/>
  <c r="F46" i="36"/>
  <c r="F47" i="36"/>
  <c r="F48" i="36"/>
  <c r="F49" i="36"/>
  <c r="E13" i="20"/>
  <c r="E7" i="20"/>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5" i="17"/>
  <c r="F6" i="20"/>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4" i="21"/>
  <c r="J5" i="21"/>
  <c r="J6" i="21"/>
  <c r="J7" i="21"/>
  <c r="J8" i="21"/>
  <c r="J9" i="21"/>
  <c r="J10" i="21"/>
  <c r="J11" i="21"/>
  <c r="J12" i="21"/>
  <c r="J13" i="21"/>
  <c r="J14" i="21"/>
  <c r="J15" i="21"/>
  <c r="J16" i="21"/>
  <c r="J17" i="21"/>
  <c r="J18" i="21"/>
  <c r="J19" i="21"/>
  <c r="J20" i="21"/>
  <c r="J21" i="21"/>
  <c r="J22" i="21"/>
  <c r="J23" i="21"/>
  <c r="J24" i="21"/>
  <c r="J25" i="21"/>
  <c r="J26" i="21"/>
  <c r="J27" i="21"/>
  <c r="J28" i="21"/>
  <c r="J29" i="21"/>
  <c r="J30" i="21"/>
  <c r="J31" i="21"/>
  <c r="J32" i="21"/>
  <c r="J33" i="21"/>
  <c r="J34" i="21"/>
  <c r="J35" i="21"/>
  <c r="J36" i="21"/>
  <c r="J37" i="21"/>
  <c r="J38" i="21"/>
  <c r="J39" i="21"/>
  <c r="J40" i="21"/>
  <c r="J41" i="21"/>
  <c r="J42" i="21"/>
  <c r="J43" i="21"/>
  <c r="J44" i="21"/>
  <c r="J45" i="21"/>
  <c r="J47" i="21"/>
  <c r="J48" i="21"/>
  <c r="J49" i="21"/>
  <c r="J50" i="21"/>
  <c r="J51" i="21"/>
  <c r="J52" i="21"/>
  <c r="J53" i="21"/>
  <c r="J54" i="21"/>
  <c r="J55" i="21"/>
  <c r="J56" i="21"/>
  <c r="J57" i="21"/>
  <c r="J58" i="21"/>
  <c r="J59" i="21"/>
  <c r="J60" i="21"/>
  <c r="J61" i="21"/>
  <c r="J62" i="21"/>
  <c r="J63" i="21"/>
  <c r="J64" i="21"/>
  <c r="J65" i="21"/>
  <c r="J66" i="21"/>
  <c r="J67" i="21"/>
  <c r="J68" i="21"/>
  <c r="J69" i="21"/>
  <c r="J70" i="21"/>
  <c r="J71" i="21"/>
  <c r="J72" i="21"/>
  <c r="J73" i="21"/>
  <c r="J74" i="21"/>
  <c r="J75" i="21"/>
  <c r="J76" i="21"/>
  <c r="J77" i="21"/>
  <c r="J78" i="21"/>
  <c r="J79" i="21"/>
  <c r="J80" i="21"/>
  <c r="J81" i="21"/>
  <c r="J82" i="21"/>
  <c r="J83" i="21"/>
  <c r="J84" i="21"/>
  <c r="J85" i="21"/>
  <c r="J86" i="21"/>
  <c r="J87" i="21"/>
  <c r="J88" i="21"/>
  <c r="J89" i="21"/>
  <c r="J90" i="21"/>
  <c r="J91" i="21"/>
  <c r="J92" i="21"/>
  <c r="J93" i="21"/>
  <c r="J94" i="21"/>
  <c r="J95" i="21"/>
  <c r="J96" i="21"/>
  <c r="J97" i="21"/>
  <c r="J98" i="21"/>
  <c r="J99" i="21"/>
  <c r="J100" i="21"/>
  <c r="J101" i="21"/>
  <c r="J102" i="21"/>
  <c r="J103" i="21"/>
  <c r="J104" i="21"/>
  <c r="J105" i="21"/>
  <c r="J106" i="21"/>
  <c r="J107" i="21"/>
  <c r="J108" i="21"/>
  <c r="J109" i="21"/>
  <c r="J110" i="21"/>
  <c r="J111" i="21"/>
  <c r="J112" i="21"/>
  <c r="J113" i="21"/>
  <c r="J114" i="21"/>
  <c r="J115" i="21"/>
  <c r="J116" i="21"/>
  <c r="J117" i="21"/>
  <c r="J118" i="21"/>
  <c r="J119" i="21"/>
  <c r="J120" i="21"/>
  <c r="J121" i="21"/>
  <c r="J122" i="21"/>
  <c r="J123" i="21"/>
  <c r="J124" i="21"/>
  <c r="J125" i="21"/>
  <c r="J126" i="21"/>
  <c r="J127" i="21"/>
  <c r="J128" i="21"/>
  <c r="J129" i="21"/>
  <c r="J130" i="21"/>
  <c r="J131" i="21"/>
  <c r="J132" i="21"/>
  <c r="J133" i="21"/>
  <c r="J134" i="21"/>
  <c r="J135" i="21"/>
  <c r="J136" i="21"/>
  <c r="J137" i="21"/>
  <c r="J138" i="21"/>
  <c r="J139" i="21"/>
  <c r="J140" i="21"/>
  <c r="J141" i="21"/>
  <c r="J142" i="21"/>
  <c r="J143" i="21"/>
  <c r="J144" i="21"/>
  <c r="J145" i="21"/>
  <c r="J146" i="21"/>
  <c r="F4" i="23"/>
  <c r="F23" i="23"/>
  <c r="F24" i="23"/>
  <c r="F58" i="23"/>
  <c r="F46" i="23"/>
  <c r="F47" i="23"/>
  <c r="F64" i="23"/>
  <c r="F65" i="23"/>
  <c r="F84" i="23"/>
  <c r="F85" i="23"/>
  <c r="F86" i="23"/>
  <c r="F35" i="23"/>
  <c r="F38" i="23"/>
  <c r="F56" i="23"/>
  <c r="F57" i="23"/>
  <c r="F60" i="23"/>
  <c r="F5" i="23"/>
  <c r="F6" i="23"/>
  <c r="F7" i="23"/>
  <c r="F8" i="23"/>
  <c r="F9" i="23"/>
  <c r="F10" i="23"/>
  <c r="F11" i="23"/>
  <c r="F12" i="23"/>
  <c r="F13" i="23"/>
  <c r="F14" i="23"/>
  <c r="F15" i="23"/>
  <c r="F16" i="23"/>
  <c r="F17" i="23"/>
  <c r="F18" i="23"/>
  <c r="F19" i="23"/>
  <c r="F20" i="23"/>
  <c r="F21" i="23"/>
  <c r="F22" i="23"/>
  <c r="F25" i="23"/>
  <c r="F26" i="23"/>
  <c r="F27" i="23"/>
  <c r="F28" i="23"/>
  <c r="F29" i="23"/>
  <c r="F30" i="23"/>
  <c r="F31" i="23"/>
  <c r="F32" i="23"/>
  <c r="F33" i="23"/>
  <c r="F34" i="23"/>
  <c r="F36" i="23"/>
  <c r="F37" i="23"/>
  <c r="F39" i="23"/>
  <c r="F40" i="23"/>
  <c r="F41" i="23"/>
  <c r="F42" i="23"/>
  <c r="F43" i="23"/>
  <c r="F44" i="23"/>
  <c r="F45" i="23"/>
  <c r="F48" i="23"/>
  <c r="F49" i="23"/>
  <c r="F50" i="23"/>
  <c r="F51" i="23"/>
  <c r="F52" i="23"/>
  <c r="F53" i="23"/>
  <c r="F54" i="23"/>
  <c r="F55" i="23"/>
  <c r="F59" i="23"/>
  <c r="F61" i="23"/>
  <c r="F62" i="23"/>
  <c r="F63" i="23"/>
  <c r="F66" i="23"/>
  <c r="F67" i="23"/>
  <c r="F68" i="23"/>
  <c r="F69" i="23"/>
  <c r="F70" i="23"/>
  <c r="F71" i="23"/>
  <c r="F72" i="23"/>
  <c r="F73" i="23"/>
  <c r="F74" i="23"/>
  <c r="F75" i="23"/>
  <c r="F76" i="23"/>
  <c r="F77" i="23"/>
  <c r="F78" i="23"/>
  <c r="F79" i="23"/>
  <c r="F80" i="23"/>
  <c r="F81" i="23"/>
  <c r="F82" i="23"/>
  <c r="F83" i="23"/>
  <c r="F87" i="23"/>
  <c r="F88" i="23"/>
  <c r="F31" i="41"/>
  <c r="F32" i="41"/>
  <c r="F34" i="41"/>
  <c r="F26" i="41"/>
  <c r="F27" i="41"/>
  <c r="F28" i="41"/>
  <c r="F33" i="41"/>
  <c r="F4" i="41"/>
  <c r="F5" i="41"/>
  <c r="F6" i="41"/>
  <c r="F7" i="41"/>
  <c r="F8" i="41"/>
  <c r="F9" i="41"/>
  <c r="F10" i="41"/>
  <c r="F11" i="41"/>
  <c r="F12" i="41"/>
  <c r="F13" i="41"/>
  <c r="F14" i="41"/>
  <c r="F15" i="41"/>
  <c r="F16" i="41"/>
  <c r="F17" i="41"/>
  <c r="F18" i="41"/>
  <c r="F19" i="41"/>
  <c r="F20" i="41"/>
  <c r="F21" i="41"/>
  <c r="F22" i="41"/>
  <c r="F23" i="41"/>
  <c r="F24" i="41"/>
  <c r="F25" i="41"/>
  <c r="F29" i="41"/>
  <c r="F30" i="41"/>
  <c r="F11" i="20"/>
  <c r="F4" i="45"/>
  <c r="F5" i="45"/>
  <c r="F6" i="45"/>
  <c r="F7" i="45"/>
  <c r="F8" i="45"/>
  <c r="F9" i="45"/>
  <c r="F10" i="45"/>
  <c r="F11" i="45"/>
  <c r="F12" i="45"/>
  <c r="F13" i="45"/>
  <c r="F14" i="45"/>
  <c r="F15" i="45"/>
  <c r="F16" i="45"/>
  <c r="F17" i="45"/>
  <c r="F18" i="45"/>
  <c r="F19" i="45"/>
  <c r="F20" i="45"/>
  <c r="F21" i="45"/>
  <c r="F22" i="45"/>
  <c r="F23" i="45"/>
  <c r="F24" i="45"/>
  <c r="F25" i="45"/>
  <c r="F26" i="45"/>
  <c r="F27" i="45"/>
  <c r="F28" i="45"/>
  <c r="F29" i="45"/>
  <c r="F30" i="45"/>
  <c r="F31" i="45"/>
  <c r="F32" i="45"/>
  <c r="F33" i="45"/>
  <c r="F34" i="45"/>
  <c r="F35" i="45"/>
  <c r="F36" i="45"/>
  <c r="F37" i="45"/>
  <c r="F38" i="45"/>
  <c r="F39" i="45"/>
  <c r="F40" i="45"/>
  <c r="F41" i="45"/>
  <c r="F42" i="45"/>
  <c r="F43" i="45"/>
  <c r="F44" i="45"/>
  <c r="F45" i="45"/>
  <c r="F46" i="45"/>
  <c r="F47" i="45"/>
  <c r="F48" i="45"/>
  <c r="F49" i="45"/>
  <c r="F50" i="45"/>
  <c r="F51" i="45"/>
  <c r="F52" i="45"/>
  <c r="F53" i="45"/>
  <c r="F54" i="45"/>
  <c r="F55" i="45"/>
  <c r="F56" i="45"/>
  <c r="F57" i="45"/>
  <c r="F58" i="45"/>
  <c r="F59" i="45"/>
  <c r="F60" i="45"/>
  <c r="F61" i="45"/>
  <c r="F62" i="45"/>
  <c r="F63" i="45"/>
  <c r="F64" i="45"/>
  <c r="F65" i="45"/>
  <c r="F66" i="45"/>
  <c r="F67" i="45"/>
  <c r="F68" i="45"/>
  <c r="F69" i="45"/>
  <c r="F70" i="45"/>
  <c r="F71" i="45"/>
  <c r="F72" i="45"/>
  <c r="F73" i="45"/>
  <c r="F74" i="45"/>
  <c r="F75" i="45"/>
  <c r="F76" i="45"/>
  <c r="F77" i="45"/>
  <c r="F78" i="45"/>
  <c r="F79" i="45"/>
  <c r="F80" i="45"/>
  <c r="F81" i="45"/>
  <c r="F82" i="45"/>
  <c r="F83" i="45"/>
  <c r="F84" i="45"/>
  <c r="F85" i="45"/>
  <c r="F86" i="45"/>
  <c r="F87" i="45"/>
  <c r="F88" i="45"/>
  <c r="F89" i="45"/>
  <c r="F90" i="45"/>
  <c r="F91" i="45"/>
  <c r="F92" i="45"/>
  <c r="F93" i="45"/>
  <c r="F94" i="45"/>
  <c r="F95" i="45"/>
  <c r="F96" i="45"/>
  <c r="F97" i="45"/>
  <c r="F98" i="45"/>
  <c r="F99" i="45"/>
  <c r="F100" i="45"/>
  <c r="F101" i="45"/>
  <c r="F102" i="45"/>
  <c r="F103" i="45"/>
  <c r="F104" i="45"/>
  <c r="F105" i="45"/>
  <c r="F106" i="45"/>
  <c r="F107" i="45"/>
  <c r="F108" i="45"/>
  <c r="F109" i="45"/>
  <c r="F110" i="45"/>
  <c r="F111" i="45"/>
  <c r="F112" i="45"/>
  <c r="F113" i="45"/>
  <c r="F114" i="45"/>
  <c r="F115" i="45"/>
  <c r="F116" i="45"/>
  <c r="F117" i="45"/>
  <c r="F118" i="45"/>
  <c r="F119" i="45"/>
  <c r="F120" i="45"/>
  <c r="F12" i="20"/>
  <c r="G5" i="36"/>
  <c r="G6" i="36"/>
  <c r="G7" i="36"/>
  <c r="G8" i="36"/>
  <c r="G9" i="36"/>
  <c r="G10" i="36"/>
  <c r="G11" i="36"/>
  <c r="G12" i="36"/>
  <c r="G13" i="36"/>
  <c r="G14" i="36"/>
  <c r="G15" i="36"/>
  <c r="G16" i="36"/>
  <c r="G17" i="36"/>
  <c r="G18" i="36"/>
  <c r="G19" i="36"/>
  <c r="G20" i="36"/>
  <c r="G21" i="36"/>
  <c r="G22" i="36"/>
  <c r="G23" i="36"/>
  <c r="G24" i="36"/>
  <c r="G25" i="36"/>
  <c r="G26" i="36"/>
  <c r="G27" i="36"/>
  <c r="G28" i="36"/>
  <c r="G29" i="36"/>
  <c r="G30" i="36"/>
  <c r="G32" i="36"/>
  <c r="G35" i="36"/>
  <c r="G36" i="36"/>
  <c r="G37" i="36"/>
  <c r="G39" i="36"/>
  <c r="G40" i="36"/>
  <c r="G41" i="36"/>
  <c r="G42" i="36"/>
  <c r="G44" i="36"/>
  <c r="G45" i="36"/>
  <c r="G46" i="36"/>
  <c r="G47" i="36"/>
  <c r="G48" i="36"/>
  <c r="G49" i="36"/>
  <c r="E5" i="49"/>
  <c r="E6" i="49"/>
  <c r="E7" i="49"/>
  <c r="E8" i="49"/>
  <c r="E9" i="49"/>
  <c r="E10" i="49"/>
  <c r="E11" i="49"/>
  <c r="E12" i="49"/>
  <c r="E13" i="49"/>
  <c r="E14" i="49"/>
  <c r="E15" i="49"/>
  <c r="E16" i="49"/>
  <c r="E17" i="49"/>
  <c r="E18" i="49"/>
  <c r="H6" i="33"/>
  <c r="H7" i="33"/>
  <c r="H8" i="33"/>
  <c r="H9" i="33"/>
  <c r="H10" i="33"/>
  <c r="H11" i="33"/>
  <c r="H12" i="33"/>
  <c r="H13" i="33"/>
  <c r="H14" i="33"/>
  <c r="H15" i="33"/>
  <c r="H16" i="33"/>
  <c r="H17" i="33"/>
  <c r="H18" i="33"/>
  <c r="H19" i="33"/>
  <c r="H20" i="33"/>
  <c r="H21" i="33"/>
  <c r="H22" i="33"/>
  <c r="H23" i="33"/>
  <c r="H24" i="33"/>
  <c r="H25" i="33"/>
  <c r="H26" i="33"/>
  <c r="H27" i="33"/>
  <c r="H28" i="33"/>
  <c r="H29" i="33"/>
  <c r="H30" i="33"/>
  <c r="H31" i="33"/>
  <c r="H32" i="33"/>
  <c r="H33" i="33"/>
  <c r="H34" i="33"/>
  <c r="H35" i="33"/>
  <c r="H36" i="33"/>
  <c r="H37" i="33"/>
  <c r="H38" i="33"/>
  <c r="H39" i="33"/>
  <c r="H40" i="33"/>
  <c r="H41" i="33"/>
  <c r="H42" i="33"/>
  <c r="H43" i="33"/>
  <c r="H44" i="33"/>
  <c r="H45" i="33"/>
  <c r="F5" i="25"/>
  <c r="F6" i="25"/>
  <c r="F7" i="25"/>
  <c r="F8" i="25"/>
  <c r="F9" i="25"/>
  <c r="F10" i="25"/>
  <c r="F11" i="25"/>
  <c r="F12" i="25"/>
  <c r="F13" i="25"/>
  <c r="F14" i="25"/>
  <c r="F15" i="25"/>
  <c r="F16" i="25"/>
  <c r="F17" i="25"/>
  <c r="F18" i="25"/>
  <c r="F19" i="25"/>
  <c r="F20" i="25"/>
  <c r="F21" i="25"/>
  <c r="F22" i="25"/>
  <c r="F23" i="25"/>
  <c r="E5" i="34"/>
  <c r="E6" i="34"/>
  <c r="E7" i="34"/>
  <c r="E8" i="34"/>
  <c r="E9" i="34"/>
  <c r="E10" i="34"/>
  <c r="E11" i="34"/>
  <c r="E12" i="34"/>
  <c r="E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57" i="34"/>
  <c r="E58" i="34"/>
  <c r="E59" i="34"/>
  <c r="E60" i="34"/>
  <c r="E61" i="34"/>
  <c r="E62" i="34"/>
  <c r="E63" i="34"/>
  <c r="E64" i="34"/>
  <c r="E65" i="34"/>
  <c r="E66" i="34"/>
  <c r="E67" i="34"/>
  <c r="E5" i="28"/>
  <c r="E6" i="28"/>
  <c r="E7" i="28"/>
  <c r="E8" i="28"/>
  <c r="E9" i="28"/>
  <c r="E10" i="28"/>
  <c r="E11" i="28"/>
  <c r="E12" i="28"/>
  <c r="E13" i="28"/>
  <c r="E14" i="28"/>
  <c r="E15" i="28"/>
  <c r="E16" i="28"/>
  <c r="E17" i="28"/>
  <c r="E18" i="28"/>
  <c r="E19" i="28"/>
  <c r="E20" i="28"/>
  <c r="E21" i="28"/>
  <c r="E22" i="28"/>
  <c r="E23" i="28"/>
  <c r="E24" i="28"/>
  <c r="E5" i="24"/>
  <c r="E6" i="24"/>
  <c r="E7" i="24"/>
  <c r="E8" i="24"/>
  <c r="E9" i="24"/>
  <c r="E10" i="24"/>
  <c r="E11" i="24"/>
  <c r="E12" i="24"/>
  <c r="E13" i="24"/>
  <c r="E14" i="24"/>
  <c r="E15" i="24"/>
  <c r="E4" i="30"/>
  <c r="E5" i="30"/>
  <c r="E6" i="30"/>
  <c r="E7" i="30"/>
  <c r="E8" i="30"/>
  <c r="E9" i="30"/>
  <c r="E10" i="30"/>
  <c r="E11" i="30"/>
  <c r="E12" i="30"/>
  <c r="E13" i="30"/>
  <c r="E14" i="30"/>
  <c r="E15" i="30"/>
  <c r="G147" i="21"/>
  <c r="M5" i="50"/>
  <c r="M6" i="50"/>
  <c r="M7" i="50"/>
  <c r="N7" i="50"/>
  <c r="O7" i="50"/>
  <c r="M8" i="50"/>
  <c r="M9" i="50"/>
  <c r="M10" i="50"/>
  <c r="N10" i="50"/>
  <c r="O10" i="50"/>
  <c r="M12" i="50"/>
  <c r="N12" i="50"/>
  <c r="O12" i="50"/>
  <c r="M13" i="50"/>
  <c r="N13" i="50"/>
  <c r="O13" i="50"/>
  <c r="M14" i="50"/>
  <c r="N14" i="50"/>
  <c r="O14" i="50"/>
  <c r="M15" i="50"/>
  <c r="N15" i="50"/>
  <c r="O15" i="50"/>
  <c r="M16" i="50"/>
  <c r="N16" i="50"/>
  <c r="O16" i="50"/>
  <c r="M17" i="50"/>
  <c r="N17" i="50"/>
  <c r="O17" i="50"/>
  <c r="M18" i="50"/>
  <c r="N18" i="50"/>
  <c r="O18" i="50"/>
  <c r="J18" i="50"/>
  <c r="J17" i="50"/>
  <c r="J16" i="50"/>
  <c r="J15" i="50"/>
  <c r="J14" i="50"/>
  <c r="J13" i="50"/>
  <c r="J12" i="50"/>
  <c r="J10" i="50"/>
  <c r="J9" i="50"/>
  <c r="J8" i="50"/>
  <c r="J7" i="50"/>
  <c r="J6" i="50"/>
  <c r="J5" i="50"/>
  <c r="H5" i="50"/>
  <c r="H6" i="50"/>
  <c r="H7" i="50"/>
  <c r="H8" i="50"/>
  <c r="H9" i="50"/>
  <c r="H10" i="50"/>
  <c r="H12" i="50"/>
  <c r="H13" i="50"/>
  <c r="H14" i="50"/>
  <c r="H15" i="50"/>
  <c r="H16" i="50"/>
  <c r="H17" i="50"/>
  <c r="H18" i="50"/>
  <c r="C16" i="30"/>
  <c r="C16" i="24"/>
  <c r="C25" i="28"/>
  <c r="C68" i="34"/>
  <c r="D24" i="25"/>
  <c r="F46" i="33"/>
  <c r="C19" i="49"/>
  <c r="D50" i="36"/>
  <c r="G212" i="1"/>
  <c r="I5" i="23"/>
  <c r="J5" i="23"/>
  <c r="K5" i="23"/>
  <c r="L5" i="23"/>
  <c r="I6" i="23"/>
  <c r="J6" i="23"/>
  <c r="K6" i="23"/>
  <c r="L6" i="23"/>
  <c r="I7" i="23"/>
  <c r="J7" i="23"/>
  <c r="K7" i="23"/>
  <c r="L7" i="23"/>
  <c r="I8" i="23"/>
  <c r="J8" i="23"/>
  <c r="K8" i="23"/>
  <c r="L8" i="23"/>
  <c r="I9" i="23"/>
  <c r="J9" i="23"/>
  <c r="K9" i="23"/>
  <c r="L9" i="23"/>
  <c r="I10" i="23"/>
  <c r="J10" i="23"/>
  <c r="K10" i="23"/>
  <c r="L10" i="23"/>
  <c r="I11" i="23"/>
  <c r="J11" i="23"/>
  <c r="K11" i="23"/>
  <c r="L11" i="23"/>
  <c r="I12" i="23"/>
  <c r="J12" i="23"/>
  <c r="K12" i="23"/>
  <c r="L12" i="23"/>
  <c r="I13" i="23"/>
  <c r="J13" i="23"/>
  <c r="K13" i="23"/>
  <c r="L13" i="23"/>
  <c r="I14" i="23"/>
  <c r="J14" i="23"/>
  <c r="K14" i="23"/>
  <c r="L14" i="23"/>
  <c r="I15" i="23"/>
  <c r="J15" i="23"/>
  <c r="K15" i="23"/>
  <c r="L15" i="23"/>
  <c r="I16" i="23"/>
  <c r="J16" i="23"/>
  <c r="K16" i="23"/>
  <c r="L16" i="23"/>
  <c r="I17" i="23"/>
  <c r="J17" i="23"/>
  <c r="K17" i="23"/>
  <c r="L17" i="23"/>
  <c r="I18" i="23"/>
  <c r="J18" i="23"/>
  <c r="K18" i="23"/>
  <c r="L18" i="23"/>
  <c r="I19" i="23"/>
  <c r="J19" i="23"/>
  <c r="K19" i="23"/>
  <c r="L19" i="23"/>
  <c r="I20" i="23"/>
  <c r="J20" i="23"/>
  <c r="K20" i="23"/>
  <c r="L20" i="23"/>
  <c r="I21" i="23"/>
  <c r="J21" i="23"/>
  <c r="K21" i="23"/>
  <c r="L21" i="23"/>
  <c r="I22" i="23"/>
  <c r="J22" i="23"/>
  <c r="K22" i="23"/>
  <c r="L22" i="23"/>
  <c r="I23" i="23"/>
  <c r="J23" i="23"/>
  <c r="K23" i="23"/>
  <c r="L23" i="23"/>
  <c r="I24" i="23"/>
  <c r="J24" i="23"/>
  <c r="K24" i="23"/>
  <c r="L24" i="23"/>
  <c r="I25" i="23"/>
  <c r="J25" i="23"/>
  <c r="K25" i="23"/>
  <c r="L25" i="23"/>
  <c r="I26" i="23"/>
  <c r="J26" i="23"/>
  <c r="K26" i="23"/>
  <c r="L26" i="23"/>
  <c r="I27" i="23"/>
  <c r="J27" i="23"/>
  <c r="K27" i="23"/>
  <c r="L27" i="23"/>
  <c r="I28" i="23"/>
  <c r="J28" i="23"/>
  <c r="K28" i="23"/>
  <c r="L28" i="23"/>
  <c r="I29" i="23"/>
  <c r="J29" i="23"/>
  <c r="K29" i="23"/>
  <c r="L29" i="23"/>
  <c r="I30" i="23"/>
  <c r="J30" i="23"/>
  <c r="K30" i="23"/>
  <c r="L30" i="23"/>
  <c r="I31" i="23"/>
  <c r="J31" i="23"/>
  <c r="K31" i="23"/>
  <c r="L31" i="23"/>
  <c r="I32" i="23"/>
  <c r="J32" i="23"/>
  <c r="K32" i="23"/>
  <c r="L32" i="23"/>
  <c r="I33" i="23"/>
  <c r="J33" i="23"/>
  <c r="K33" i="23"/>
  <c r="L33" i="23"/>
  <c r="I34" i="23"/>
  <c r="J34" i="23"/>
  <c r="K34" i="23"/>
  <c r="L34" i="23"/>
  <c r="I35" i="23"/>
  <c r="J35" i="23"/>
  <c r="K35" i="23"/>
  <c r="L35" i="23"/>
  <c r="I36" i="23"/>
  <c r="J36" i="23"/>
  <c r="K36" i="23"/>
  <c r="L36" i="23"/>
  <c r="I37" i="23"/>
  <c r="J37" i="23"/>
  <c r="K37" i="23"/>
  <c r="L37" i="23"/>
  <c r="I38" i="23"/>
  <c r="J38" i="23"/>
  <c r="K38" i="23"/>
  <c r="L38" i="23"/>
  <c r="I39" i="23"/>
  <c r="J39" i="23"/>
  <c r="K39" i="23"/>
  <c r="L39" i="23"/>
  <c r="I40" i="23"/>
  <c r="J40" i="23"/>
  <c r="K40" i="23"/>
  <c r="L40" i="23"/>
  <c r="I41" i="23"/>
  <c r="J41" i="23"/>
  <c r="K41" i="23"/>
  <c r="L41" i="23"/>
  <c r="I42" i="23"/>
  <c r="J42" i="23"/>
  <c r="K42" i="23"/>
  <c r="L42" i="23"/>
  <c r="I43" i="23"/>
  <c r="J43" i="23"/>
  <c r="K43" i="23"/>
  <c r="L43" i="23"/>
  <c r="I44" i="23"/>
  <c r="J44" i="23"/>
  <c r="K44" i="23"/>
  <c r="L44" i="23"/>
  <c r="I45" i="23"/>
  <c r="J45" i="23"/>
  <c r="K45" i="23"/>
  <c r="L45" i="23"/>
  <c r="I46" i="23"/>
  <c r="J46" i="23"/>
  <c r="K46" i="23"/>
  <c r="L46" i="23"/>
  <c r="I47" i="23"/>
  <c r="J47" i="23"/>
  <c r="K47" i="23"/>
  <c r="L47" i="23"/>
  <c r="I48" i="23"/>
  <c r="J48" i="23"/>
  <c r="K48" i="23"/>
  <c r="L48" i="23"/>
  <c r="I49" i="23"/>
  <c r="J49" i="23"/>
  <c r="K49" i="23"/>
  <c r="L49" i="23"/>
  <c r="I50" i="23"/>
  <c r="J50" i="23"/>
  <c r="K50" i="23"/>
  <c r="L50" i="23"/>
  <c r="I51" i="23"/>
  <c r="J51" i="23"/>
  <c r="K51" i="23"/>
  <c r="L51" i="23"/>
  <c r="I52" i="23"/>
  <c r="J52" i="23"/>
  <c r="K52" i="23"/>
  <c r="L52" i="23"/>
  <c r="I53" i="23"/>
  <c r="J53" i="23"/>
  <c r="K53" i="23"/>
  <c r="L53" i="23"/>
  <c r="I54" i="23"/>
  <c r="J54" i="23"/>
  <c r="K54" i="23"/>
  <c r="L54" i="23"/>
  <c r="I55" i="23"/>
  <c r="J55" i="23"/>
  <c r="K55" i="23"/>
  <c r="L55" i="23"/>
  <c r="I56" i="23"/>
  <c r="J56" i="23"/>
  <c r="K56" i="23"/>
  <c r="L56" i="23"/>
  <c r="I57" i="23"/>
  <c r="J57" i="23"/>
  <c r="K57" i="23"/>
  <c r="L57" i="23"/>
  <c r="I58" i="23"/>
  <c r="J58" i="23"/>
  <c r="K58" i="23"/>
  <c r="L58" i="23"/>
  <c r="I59" i="23"/>
  <c r="J59" i="23"/>
  <c r="K59" i="23"/>
  <c r="L59" i="23"/>
  <c r="I60" i="23"/>
  <c r="J60" i="23"/>
  <c r="K60" i="23"/>
  <c r="L60" i="23"/>
  <c r="I61" i="23"/>
  <c r="J61" i="23"/>
  <c r="K61" i="23"/>
  <c r="L61" i="23"/>
  <c r="I62" i="23"/>
  <c r="J62" i="23"/>
  <c r="K62" i="23"/>
  <c r="L62" i="23"/>
  <c r="I63" i="23"/>
  <c r="J63" i="23"/>
  <c r="K63" i="23"/>
  <c r="L63" i="23"/>
  <c r="I64" i="23"/>
  <c r="J64" i="23"/>
  <c r="K64" i="23"/>
  <c r="L64" i="23"/>
  <c r="I65" i="23"/>
  <c r="J65" i="23"/>
  <c r="K65" i="23"/>
  <c r="L65" i="23"/>
  <c r="I66" i="23"/>
  <c r="J66" i="23"/>
  <c r="K66" i="23"/>
  <c r="L66" i="23"/>
  <c r="I67" i="23"/>
  <c r="J67" i="23"/>
  <c r="K67" i="23"/>
  <c r="L67" i="23"/>
  <c r="I68" i="23"/>
  <c r="J68" i="23"/>
  <c r="K68" i="23"/>
  <c r="L68" i="23"/>
  <c r="I69" i="23"/>
  <c r="J69" i="23"/>
  <c r="K69" i="23"/>
  <c r="L69" i="23"/>
  <c r="I70" i="23"/>
  <c r="J70" i="23"/>
  <c r="K70" i="23"/>
  <c r="L70" i="23"/>
  <c r="I71" i="23"/>
  <c r="J71" i="23"/>
  <c r="K71" i="23"/>
  <c r="L71" i="23"/>
  <c r="I72" i="23"/>
  <c r="J72" i="23"/>
  <c r="K72" i="23"/>
  <c r="L72" i="23"/>
  <c r="I73" i="23"/>
  <c r="J73" i="23"/>
  <c r="K73" i="23"/>
  <c r="L73" i="23"/>
  <c r="I74" i="23"/>
  <c r="J74" i="23"/>
  <c r="K74" i="23"/>
  <c r="L74" i="23"/>
  <c r="I75" i="23"/>
  <c r="J75" i="23"/>
  <c r="K75" i="23"/>
  <c r="L75" i="23"/>
  <c r="I76" i="23"/>
  <c r="J76" i="23"/>
  <c r="K76" i="23"/>
  <c r="L76" i="23"/>
  <c r="I77" i="23"/>
  <c r="J77" i="23"/>
  <c r="K77" i="23"/>
  <c r="L77" i="23"/>
  <c r="I78" i="23"/>
  <c r="J78" i="23"/>
  <c r="K78" i="23"/>
  <c r="L78" i="23"/>
  <c r="I79" i="23"/>
  <c r="J79" i="23"/>
  <c r="K79" i="23"/>
  <c r="L79" i="23"/>
  <c r="I80" i="23"/>
  <c r="J80" i="23"/>
  <c r="K80" i="23"/>
  <c r="L80" i="23"/>
  <c r="I81" i="23"/>
  <c r="J81" i="23"/>
  <c r="K81" i="23"/>
  <c r="L81" i="23"/>
  <c r="I82" i="23"/>
  <c r="J82" i="23"/>
  <c r="K82" i="23"/>
  <c r="L82" i="23"/>
  <c r="I83" i="23"/>
  <c r="J83" i="23"/>
  <c r="K83" i="23"/>
  <c r="L83" i="23"/>
  <c r="I84" i="23"/>
  <c r="J84" i="23"/>
  <c r="K84" i="23"/>
  <c r="L84" i="23"/>
  <c r="I85" i="23"/>
  <c r="J85" i="23"/>
  <c r="K85" i="23"/>
  <c r="L85" i="23"/>
  <c r="I86" i="23"/>
  <c r="J86" i="23"/>
  <c r="K86" i="23"/>
  <c r="L86" i="23"/>
  <c r="I87" i="23"/>
  <c r="J87" i="23"/>
  <c r="K87" i="23"/>
  <c r="L87" i="23"/>
  <c r="I88" i="23"/>
  <c r="J88" i="23"/>
  <c r="K88" i="23"/>
  <c r="L88" i="23"/>
  <c r="C89" i="23"/>
  <c r="C35" i="41"/>
  <c r="H5" i="25"/>
  <c r="I5" i="25"/>
  <c r="H6" i="25"/>
  <c r="I6" i="25"/>
  <c r="H7" i="25"/>
  <c r="I7" i="25"/>
  <c r="H8" i="25"/>
  <c r="I8" i="25"/>
  <c r="H9" i="25"/>
  <c r="I9" i="25"/>
  <c r="H10" i="25"/>
  <c r="I10" i="25"/>
  <c r="H11" i="25"/>
  <c r="I11" i="25"/>
  <c r="H12" i="25"/>
  <c r="I12" i="25"/>
  <c r="H13" i="25"/>
  <c r="I13" i="25"/>
  <c r="H14" i="25"/>
  <c r="I14" i="25"/>
  <c r="H15" i="25"/>
  <c r="I15" i="25"/>
  <c r="H16" i="25"/>
  <c r="I16" i="25"/>
  <c r="H17" i="25"/>
  <c r="I17" i="25"/>
  <c r="H18" i="25"/>
  <c r="I18" i="25"/>
  <c r="H19" i="25"/>
  <c r="I19" i="25"/>
  <c r="H20" i="25"/>
  <c r="I20" i="25"/>
  <c r="H21" i="25"/>
  <c r="I21" i="25"/>
  <c r="H22" i="25"/>
  <c r="I22" i="25"/>
  <c r="H23" i="25"/>
  <c r="I23" i="25"/>
  <c r="G5" i="34"/>
  <c r="H5" i="34"/>
  <c r="G6" i="34"/>
  <c r="H6" i="34"/>
  <c r="G7" i="34"/>
  <c r="H7" i="34"/>
  <c r="G8" i="34"/>
  <c r="H8" i="34"/>
  <c r="G9" i="34"/>
  <c r="H9" i="34"/>
  <c r="G10" i="34"/>
  <c r="H10" i="34"/>
  <c r="G11" i="34"/>
  <c r="H11" i="34"/>
  <c r="G12" i="34"/>
  <c r="H12" i="34"/>
  <c r="G13" i="34"/>
  <c r="H13" i="34"/>
  <c r="G14" i="34"/>
  <c r="H14" i="34"/>
  <c r="G15" i="34"/>
  <c r="H15" i="34"/>
  <c r="G16" i="34"/>
  <c r="H16" i="34"/>
  <c r="G17" i="34"/>
  <c r="H17" i="34"/>
  <c r="G18" i="34"/>
  <c r="H18" i="34"/>
  <c r="G19" i="34"/>
  <c r="H19" i="34"/>
  <c r="G20" i="34"/>
  <c r="H20" i="34"/>
  <c r="G21" i="34"/>
  <c r="H21" i="34"/>
  <c r="G22" i="34"/>
  <c r="H22" i="34"/>
  <c r="G23" i="34"/>
  <c r="H23" i="34"/>
  <c r="G24" i="34"/>
  <c r="H24" i="34"/>
  <c r="G25" i="34"/>
  <c r="H25" i="34"/>
  <c r="G26" i="34"/>
  <c r="H26" i="34"/>
  <c r="G27" i="34"/>
  <c r="H27" i="34"/>
  <c r="G28" i="34"/>
  <c r="H28" i="34"/>
  <c r="G29" i="34"/>
  <c r="H29" i="34"/>
  <c r="G30" i="34"/>
  <c r="H30" i="34"/>
  <c r="G31" i="34"/>
  <c r="H31" i="34"/>
  <c r="G32" i="34"/>
  <c r="H32" i="34"/>
  <c r="G33" i="34"/>
  <c r="H33" i="34"/>
  <c r="G34" i="34"/>
  <c r="H34" i="34"/>
  <c r="G35" i="34"/>
  <c r="H35" i="34"/>
  <c r="G36" i="34"/>
  <c r="H36" i="34"/>
  <c r="G37" i="34"/>
  <c r="H37" i="34"/>
  <c r="G38" i="34"/>
  <c r="H38" i="34"/>
  <c r="G39" i="34"/>
  <c r="H39" i="34"/>
  <c r="G40" i="34"/>
  <c r="H40" i="34"/>
  <c r="G41" i="34"/>
  <c r="H41" i="34"/>
  <c r="G42" i="34"/>
  <c r="H42" i="34"/>
  <c r="G43" i="34"/>
  <c r="H43" i="34"/>
  <c r="G44" i="34"/>
  <c r="H44" i="34"/>
  <c r="G45" i="34"/>
  <c r="H45" i="34"/>
  <c r="G46" i="34"/>
  <c r="H46" i="34"/>
  <c r="G47" i="34"/>
  <c r="H47" i="34"/>
  <c r="G48" i="34"/>
  <c r="H48" i="34"/>
  <c r="G49" i="34"/>
  <c r="H49" i="34"/>
  <c r="G50" i="34"/>
  <c r="H50" i="34"/>
  <c r="G51" i="34"/>
  <c r="H51" i="34"/>
  <c r="G52" i="34"/>
  <c r="H52" i="34"/>
  <c r="G53" i="34"/>
  <c r="H53" i="34"/>
  <c r="G54" i="34"/>
  <c r="H54" i="34"/>
  <c r="G55" i="34"/>
  <c r="H55" i="34"/>
  <c r="G56" i="34"/>
  <c r="H56" i="34"/>
  <c r="G57" i="34"/>
  <c r="H57" i="34"/>
  <c r="G58" i="34"/>
  <c r="H58" i="34"/>
  <c r="G59" i="34"/>
  <c r="H59" i="34"/>
  <c r="G60" i="34"/>
  <c r="H60" i="34"/>
  <c r="G61" i="34"/>
  <c r="H61" i="34"/>
  <c r="G62" i="34"/>
  <c r="H62" i="34"/>
  <c r="G63" i="34"/>
  <c r="H63" i="34"/>
  <c r="G64" i="34"/>
  <c r="H64" i="34"/>
  <c r="G65" i="34"/>
  <c r="H65" i="34"/>
  <c r="G66" i="34"/>
  <c r="H66" i="34"/>
  <c r="G67" i="34"/>
  <c r="H67" i="34"/>
  <c r="G5" i="24"/>
  <c r="H5" i="24"/>
  <c r="I5" i="24"/>
  <c r="J5" i="24"/>
  <c r="G6" i="24"/>
  <c r="H6" i="24"/>
  <c r="I6" i="24"/>
  <c r="J6" i="24"/>
  <c r="G7" i="24"/>
  <c r="H7" i="24"/>
  <c r="I7" i="24"/>
  <c r="J7" i="24"/>
  <c r="G8" i="24"/>
  <c r="H8" i="24"/>
  <c r="I8" i="24"/>
  <c r="J8" i="24"/>
  <c r="G9" i="24"/>
  <c r="H9" i="24"/>
  <c r="I9" i="24"/>
  <c r="J9" i="24"/>
  <c r="G10" i="24"/>
  <c r="H10" i="24"/>
  <c r="I10" i="24"/>
  <c r="J10" i="24"/>
  <c r="G11" i="24"/>
  <c r="H11" i="24"/>
  <c r="I11" i="24"/>
  <c r="J11" i="24"/>
  <c r="G12" i="24"/>
  <c r="H12" i="24"/>
  <c r="I12" i="24"/>
  <c r="J12" i="24"/>
  <c r="G13" i="24"/>
  <c r="H13" i="24"/>
  <c r="I13" i="24"/>
  <c r="J13" i="24"/>
  <c r="G14" i="24"/>
  <c r="H14" i="24"/>
  <c r="I14" i="24"/>
  <c r="J14" i="24"/>
  <c r="G15" i="24"/>
  <c r="H15" i="24"/>
  <c r="I15" i="24"/>
  <c r="J15" i="24"/>
  <c r="L5" i="33"/>
  <c r="L6" i="33"/>
  <c r="L7" i="33"/>
  <c r="L8" i="33"/>
  <c r="J9" i="33"/>
  <c r="K9" i="33"/>
  <c r="L9" i="33"/>
  <c r="L10" i="33"/>
  <c r="J11" i="33"/>
  <c r="K11" i="33"/>
  <c r="L11" i="33"/>
  <c r="L12" i="33"/>
  <c r="L13" i="33"/>
  <c r="L14" i="33"/>
  <c r="J15" i="33"/>
  <c r="K15" i="33"/>
  <c r="L15" i="33"/>
  <c r="J16" i="33"/>
  <c r="K16" i="33"/>
  <c r="L16" i="33"/>
  <c r="J17" i="33"/>
  <c r="K17" i="33"/>
  <c r="L17" i="33"/>
  <c r="J18" i="33"/>
  <c r="K18" i="33"/>
  <c r="L18" i="33"/>
  <c r="L19" i="33"/>
  <c r="L20" i="33"/>
  <c r="J21" i="33"/>
  <c r="K21" i="33"/>
  <c r="L21" i="33"/>
  <c r="J22" i="33"/>
  <c r="K22" i="33"/>
  <c r="L22" i="33"/>
  <c r="L23" i="33"/>
  <c r="L24" i="33"/>
  <c r="L25" i="33"/>
  <c r="L26" i="33"/>
  <c r="L27" i="33"/>
  <c r="L28" i="33"/>
  <c r="L29" i="33"/>
  <c r="J30" i="33"/>
  <c r="K30" i="33"/>
  <c r="L30" i="33"/>
  <c r="L31" i="33"/>
  <c r="L32" i="33"/>
  <c r="L33" i="33"/>
  <c r="L34" i="33"/>
  <c r="L35" i="33"/>
  <c r="L36" i="33"/>
  <c r="L37" i="33"/>
  <c r="L38" i="33"/>
  <c r="L39" i="33"/>
  <c r="J40" i="33"/>
  <c r="K40" i="33"/>
  <c r="L40" i="33"/>
  <c r="L41" i="33"/>
  <c r="L42" i="33"/>
  <c r="L43" i="33"/>
  <c r="L44" i="33"/>
  <c r="L45" i="33"/>
  <c r="K4" i="23"/>
  <c r="J4" i="23"/>
  <c r="C121" i="45"/>
  <c r="L4" i="23"/>
  <c r="I4" i="23"/>
  <c r="I4" i="41"/>
  <c r="J4" i="41"/>
  <c r="I5" i="41"/>
  <c r="J5" i="41"/>
  <c r="I6" i="41"/>
  <c r="J6" i="41"/>
  <c r="I7" i="41"/>
  <c r="J7" i="41"/>
  <c r="I8" i="41"/>
  <c r="J8" i="41"/>
  <c r="I9" i="41"/>
  <c r="J9" i="41"/>
  <c r="I10" i="41"/>
  <c r="J10" i="41"/>
  <c r="I11" i="41"/>
  <c r="J11" i="41"/>
  <c r="I12" i="41"/>
  <c r="J12" i="41"/>
  <c r="I13" i="41"/>
  <c r="J13" i="41"/>
  <c r="I14" i="41"/>
  <c r="J14" i="41"/>
  <c r="I15" i="41"/>
  <c r="J15" i="41"/>
  <c r="I16" i="41"/>
  <c r="J16" i="41"/>
  <c r="I17" i="41"/>
  <c r="J17" i="41"/>
  <c r="I18" i="41"/>
  <c r="J18" i="41"/>
  <c r="I19" i="41"/>
  <c r="J19" i="41"/>
  <c r="I20" i="41"/>
  <c r="J20" i="41"/>
  <c r="I21" i="41"/>
  <c r="J21" i="41"/>
  <c r="I22" i="41"/>
  <c r="J22" i="41"/>
  <c r="I23" i="41"/>
  <c r="J23" i="41"/>
  <c r="I24" i="41"/>
  <c r="J24" i="41"/>
  <c r="I25" i="41"/>
  <c r="J25" i="41"/>
  <c r="I26" i="41"/>
  <c r="J26" i="41"/>
  <c r="I27" i="41"/>
  <c r="J27" i="41"/>
  <c r="I28" i="41"/>
  <c r="J28" i="41"/>
  <c r="I29" i="41"/>
  <c r="J29" i="41"/>
  <c r="I30" i="41"/>
  <c r="J30" i="41"/>
  <c r="I31" i="41"/>
  <c r="J31" i="41"/>
  <c r="I32" i="41"/>
  <c r="J32" i="41"/>
  <c r="I33" i="41"/>
  <c r="J33" i="41"/>
  <c r="I34" i="41"/>
  <c r="J34" i="41"/>
  <c r="L4" i="33"/>
  <c r="H4" i="25"/>
  <c r="I4" i="25"/>
  <c r="G4" i="34"/>
  <c r="H4" i="34"/>
  <c r="G4" i="24"/>
  <c r="H4" i="24"/>
  <c r="I4" i="24"/>
  <c r="J4" i="24"/>
  <c r="R4" i="1"/>
  <c r="R5" i="1"/>
  <c r="R6" i="1"/>
  <c r="R7" i="1"/>
  <c r="R8" i="1"/>
  <c r="R9" i="1"/>
  <c r="R10" i="1"/>
  <c r="R11" i="1"/>
  <c r="R12" i="1"/>
  <c r="R13" i="1"/>
  <c r="R14" i="1"/>
  <c r="R15" i="1"/>
  <c r="R16" i="1"/>
  <c r="R17" i="1"/>
  <c r="R18" i="1"/>
  <c r="R19" i="1"/>
  <c r="R20" i="1"/>
  <c r="R21" i="1"/>
  <c r="R22" i="1"/>
  <c r="R23" i="1"/>
  <c r="R24" i="1"/>
  <c r="R25" i="1"/>
  <c r="R26" i="1"/>
  <c r="R27" i="1"/>
  <c r="R28" i="1"/>
  <c r="R29" i="1"/>
  <c r="R30" i="1"/>
  <c r="Q31"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Q83" i="1"/>
  <c r="R83" i="1"/>
  <c r="R84" i="1"/>
  <c r="R85" i="1"/>
  <c r="R86" i="1"/>
  <c r="R87" i="1"/>
  <c r="R88" i="1"/>
  <c r="R89" i="1"/>
  <c r="R90" i="1"/>
  <c r="R91" i="1"/>
  <c r="R92" i="1"/>
  <c r="R93" i="1"/>
  <c r="R94" i="1"/>
  <c r="R95" i="1"/>
  <c r="R96" i="1"/>
  <c r="R97" i="1"/>
  <c r="R98" i="1"/>
  <c r="R99" i="1"/>
  <c r="R100" i="1"/>
  <c r="P101" i="1"/>
  <c r="R101" i="1"/>
  <c r="R102" i="1"/>
  <c r="R103" i="1"/>
  <c r="R104" i="1"/>
  <c r="R105" i="1"/>
  <c r="R106" i="1"/>
  <c r="R107" i="1"/>
  <c r="R108" i="1"/>
  <c r="R109" i="1"/>
  <c r="R110" i="1"/>
  <c r="R111" i="1"/>
  <c r="R112" i="1"/>
  <c r="Q113"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P144" i="1"/>
  <c r="R144" i="1"/>
  <c r="R145" i="1"/>
  <c r="R146" i="1"/>
  <c r="R147" i="1"/>
  <c r="R148" i="1"/>
  <c r="R149" i="1"/>
  <c r="R150" i="1"/>
  <c r="R151" i="1"/>
  <c r="P152" i="1"/>
  <c r="R152" i="1"/>
  <c r="R153" i="1"/>
  <c r="Q154" i="1"/>
  <c r="R154" i="1"/>
  <c r="Q155" i="1"/>
  <c r="R155" i="1"/>
  <c r="R156" i="1"/>
  <c r="R157" i="1"/>
  <c r="R158" i="1"/>
  <c r="R159" i="1"/>
  <c r="R160" i="1"/>
  <c r="R161" i="1"/>
  <c r="R162" i="1"/>
  <c r="R163" i="1"/>
  <c r="R164" i="1"/>
  <c r="R165" i="1"/>
  <c r="R166" i="1"/>
  <c r="R167" i="1"/>
  <c r="R168" i="1"/>
  <c r="R169" i="1"/>
  <c r="R170" i="1"/>
  <c r="R171" i="1"/>
  <c r="R172" i="1"/>
  <c r="R173" i="1"/>
  <c r="R174" i="1"/>
  <c r="Q175"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P221" i="1"/>
  <c r="R221" i="1"/>
  <c r="R222" i="1"/>
  <c r="R223" i="1"/>
  <c r="P34" i="1"/>
  <c r="Q144" i="1"/>
  <c r="Q33" i="1"/>
  <c r="Q71" i="1"/>
  <c r="Q62" i="1"/>
  <c r="P59" i="1"/>
  <c r="Q50" i="1"/>
  <c r="P105" i="1"/>
  <c r="P19" i="1"/>
  <c r="Q13" i="1"/>
  <c r="P9" i="1"/>
  <c r="Q185" i="1"/>
  <c r="P157" i="1"/>
  <c r="Q199" i="1"/>
  <c r="Q126" i="1"/>
  <c r="P76" i="1"/>
  <c r="P62" i="1"/>
  <c r="Q35" i="1"/>
  <c r="Q19" i="1"/>
  <c r="Q109" i="1"/>
  <c r="Q49" i="1"/>
  <c r="Q18" i="1"/>
  <c r="Q17" i="1"/>
  <c r="Q89" i="1"/>
  <c r="P58" i="1"/>
  <c r="P171" i="1"/>
  <c r="P163" i="1"/>
  <c r="P161" i="1"/>
  <c r="Q125" i="1"/>
  <c r="Q222" i="1"/>
  <c r="P219" i="1"/>
  <c r="Q203" i="1"/>
  <c r="Q38" i="1"/>
  <c r="Q10" i="1"/>
  <c r="Q180" i="1"/>
  <c r="Q159" i="1"/>
  <c r="Q110" i="1"/>
  <c r="Q70" i="1"/>
  <c r="P46" i="1"/>
  <c r="Q21" i="1"/>
  <c r="Q5" i="1"/>
  <c r="Q187" i="1"/>
  <c r="P31" i="1"/>
  <c r="Q7" i="1"/>
  <c r="P160" i="1"/>
  <c r="P172" i="1"/>
  <c r="Q134" i="1"/>
  <c r="Q209" i="1"/>
  <c r="Q143" i="1"/>
  <c r="P107" i="1"/>
  <c r="Q115" i="1"/>
  <c r="P18" i="1"/>
  <c r="P169" i="1"/>
  <c r="Q148" i="1"/>
  <c r="P72" i="1"/>
  <c r="Q22" i="1"/>
  <c r="P125" i="1"/>
  <c r="P193" i="1"/>
  <c r="Q104" i="1"/>
  <c r="P63" i="1"/>
  <c r="P80" i="1"/>
  <c r="P170" i="1"/>
  <c r="Q207" i="1"/>
  <c r="Q139" i="1"/>
  <c r="P66" i="1"/>
  <c r="Q30" i="1"/>
  <c r="P126" i="1"/>
  <c r="Q34" i="1"/>
  <c r="Q52" i="1"/>
  <c r="P138" i="1"/>
  <c r="P110" i="1"/>
  <c r="P200" i="1"/>
  <c r="P208" i="1"/>
  <c r="Q23" i="1"/>
  <c r="P14" i="1"/>
  <c r="P209" i="1"/>
  <c r="Q15" i="1"/>
  <c r="Q27" i="1"/>
  <c r="Q82" i="1"/>
  <c r="Q88" i="1"/>
  <c r="P42" i="1"/>
  <c r="P90" i="1"/>
  <c r="Q164" i="1"/>
  <c r="P98" i="1"/>
  <c r="Q150" i="1"/>
  <c r="P174" i="1"/>
  <c r="P197" i="1"/>
  <c r="Q205" i="1"/>
  <c r="Q133" i="1"/>
  <c r="Q195" i="1"/>
  <c r="P6" i="1"/>
  <c r="Q11" i="1"/>
  <c r="Q84" i="1"/>
  <c r="P51" i="1"/>
  <c r="P145" i="1"/>
  <c r="Q176" i="1"/>
  <c r="Q90" i="1"/>
  <c r="P131" i="1"/>
  <c r="P155" i="1"/>
  <c r="Q189" i="1"/>
  <c r="Q217" i="1"/>
  <c r="P25" i="1"/>
  <c r="P50" i="1"/>
  <c r="P114" i="1"/>
  <c r="Q111" i="1"/>
  <c r="Q66" i="1"/>
  <c r="P139" i="1"/>
  <c r="Q193" i="1"/>
  <c r="Q215" i="1"/>
  <c r="P216" i="1"/>
  <c r="Q156" i="1"/>
  <c r="P173" i="1"/>
  <c r="P15" i="1"/>
  <c r="Q79" i="1"/>
  <c r="Q119" i="1"/>
  <c r="Q131" i="1"/>
  <c r="P10" i="1"/>
  <c r="Q57" i="1"/>
  <c r="P81" i="1"/>
  <c r="P94" i="1"/>
  <c r="P115" i="1"/>
  <c r="P5" i="1"/>
  <c r="Q100" i="1"/>
  <c r="Q171" i="1"/>
  <c r="Q14" i="1"/>
  <c r="Q42" i="1"/>
  <c r="P91" i="1"/>
  <c r="P103" i="1"/>
  <c r="Q173" i="1"/>
  <c r="P202" i="1"/>
  <c r="Q213" i="1"/>
  <c r="P86" i="1"/>
  <c r="Q147" i="1"/>
  <c r="P39" i="1"/>
  <c r="Q130" i="1"/>
  <c r="Q26" i="1"/>
  <c r="Q41" i="1"/>
  <c r="Q61" i="1"/>
  <c r="Q146" i="1"/>
  <c r="P187" i="1"/>
  <c r="P71" i="1"/>
  <c r="Q98" i="1"/>
  <c r="Q94" i="1"/>
  <c r="Q78" i="1"/>
  <c r="P129" i="1"/>
  <c r="P49" i="1"/>
  <c r="P185" i="1"/>
  <c r="P27" i="1"/>
  <c r="Q6" i="1"/>
  <c r="P134" i="1"/>
  <c r="P75" i="1"/>
  <c r="Q201" i="1"/>
  <c r="P43" i="1"/>
  <c r="Q166" i="1"/>
  <c r="P22" i="1"/>
  <c r="P147" i="1"/>
  <c r="Q39" i="1"/>
  <c r="P148" i="1"/>
  <c r="P217" i="1"/>
  <c r="P198" i="1"/>
  <c r="P121" i="1"/>
  <c r="Q121" i="1"/>
  <c r="Q127" i="1"/>
  <c r="Q118" i="1"/>
  <c r="P118" i="1"/>
  <c r="P68" i="1"/>
  <c r="P111" i="1"/>
  <c r="P168" i="1"/>
  <c r="Q182" i="1"/>
  <c r="P194" i="1"/>
  <c r="P222" i="1"/>
  <c r="P23" i="1"/>
  <c r="Q93" i="1"/>
  <c r="P96" i="1"/>
  <c r="Q141" i="1"/>
  <c r="P151" i="1"/>
  <c r="Q168" i="1"/>
  <c r="Q48" i="1"/>
  <c r="Q55" i="1"/>
  <c r="Q67" i="1"/>
  <c r="P67" i="1"/>
  <c r="Q198" i="1"/>
  <c r="P127" i="1"/>
  <c r="Q184" i="1"/>
  <c r="Q63" i="1"/>
  <c r="P135" i="1"/>
  <c r="Q191" i="1"/>
  <c r="Q9" i="1"/>
  <c r="P184" i="1"/>
  <c r="Q152" i="1"/>
  <c r="Q192" i="1"/>
  <c r="P55" i="1"/>
  <c r="P113" i="1"/>
  <c r="P150" i="1"/>
  <c r="Q188" i="1"/>
  <c r="P195" i="1"/>
  <c r="P7" i="1"/>
  <c r="P26" i="1"/>
  <c r="Q72" i="1"/>
  <c r="P97" i="1"/>
  <c r="P117" i="1"/>
  <c r="Q117" i="1"/>
  <c r="P158" i="1"/>
  <c r="Q162" i="1"/>
  <c r="P176" i="1"/>
  <c r="Q25" i="1"/>
  <c r="Q68" i="1"/>
  <c r="Q122" i="1"/>
  <c r="P177" i="1"/>
  <c r="Q137" i="1"/>
  <c r="P183" i="1"/>
  <c r="P109" i="1"/>
  <c r="P180" i="1"/>
  <c r="P213" i="1"/>
  <c r="Q92" i="1"/>
  <c r="Q167" i="1"/>
  <c r="Q43" i="1"/>
  <c r="Q172" i="1"/>
  <c r="Q76" i="1"/>
  <c r="Q97" i="1"/>
  <c r="Q151" i="1"/>
  <c r="Q179" i="1"/>
  <c r="P189" i="1"/>
  <c r="P201" i="1"/>
  <c r="P11" i="1"/>
  <c r="P35" i="1"/>
  <c r="Q47" i="1"/>
  <c r="Q59" i="1"/>
  <c r="P104" i="1"/>
  <c r="P122" i="1"/>
  <c r="Q163" i="1"/>
  <c r="P166" i="1"/>
  <c r="P182" i="1"/>
  <c r="P191" i="1"/>
  <c r="P211" i="1"/>
  <c r="P38" i="1"/>
  <c r="P123" i="1"/>
  <c r="P130" i="1"/>
  <c r="P156" i="1"/>
  <c r="P205" i="1"/>
  <c r="P192" i="1"/>
  <c r="P137" i="1"/>
  <c r="Q183" i="1"/>
  <c r="Q36" i="1"/>
  <c r="P16" i="1"/>
  <c r="P78" i="1"/>
  <c r="Q32" i="1"/>
  <c r="Q69" i="1"/>
  <c r="P69" i="1"/>
  <c r="Q103" i="1"/>
  <c r="Q53" i="1"/>
  <c r="Q129" i="1"/>
  <c r="Q132" i="1"/>
  <c r="P99" i="1"/>
  <c r="Q140" i="1"/>
  <c r="Q196" i="1"/>
  <c r="P215" i="1"/>
  <c r="Q4" i="1"/>
  <c r="P28" i="1"/>
  <c r="P12" i="1"/>
  <c r="Q24" i="1"/>
  <c r="P41" i="1"/>
  <c r="P8" i="1"/>
  <c r="Q16" i="1"/>
  <c r="P57" i="1"/>
  <c r="P70" i="1"/>
  <c r="Q29" i="1"/>
  <c r="P64" i="1"/>
  <c r="P74" i="1"/>
  <c r="P87" i="1"/>
  <c r="P53" i="1"/>
  <c r="Q95" i="1"/>
  <c r="P93" i="1"/>
  <c r="P133" i="1"/>
  <c r="Q157" i="1"/>
  <c r="P85" i="1"/>
  <c r="Q174" i="1"/>
  <c r="P108" i="1"/>
  <c r="P116" i="1"/>
  <c r="P124" i="1"/>
  <c r="Q136" i="1"/>
  <c r="Q165" i="1"/>
  <c r="Q99" i="1"/>
  <c r="Q194" i="1"/>
  <c r="Q221" i="1"/>
  <c r="Q208" i="1"/>
  <c r="P153" i="1"/>
  <c r="P181" i="1"/>
  <c r="P207" i="1"/>
  <c r="P220" i="1"/>
  <c r="P223" i="1"/>
  <c r="P24" i="1"/>
  <c r="Q40" i="1"/>
  <c r="Q80" i="1"/>
  <c r="P92" i="1"/>
  <c r="P154" i="1"/>
  <c r="Q161" i="1"/>
  <c r="Q120" i="1"/>
  <c r="P37" i="1"/>
  <c r="Q204" i="1"/>
  <c r="Q214" i="1"/>
  <c r="Q28" i="1"/>
  <c r="Q12" i="1"/>
  <c r="P33" i="1"/>
  <c r="P44" i="1"/>
  <c r="Q8" i="1"/>
  <c r="P20" i="1"/>
  <c r="P60" i="1"/>
  <c r="P73" i="1"/>
  <c r="P29" i="1"/>
  <c r="P56" i="1"/>
  <c r="Q64" i="1"/>
  <c r="P77" i="1"/>
  <c r="Q45" i="1"/>
  <c r="P95" i="1"/>
  <c r="Q91" i="1"/>
  <c r="Q87" i="1"/>
  <c r="Q96" i="1"/>
  <c r="P141" i="1"/>
  <c r="P165" i="1"/>
  <c r="Q85" i="1"/>
  <c r="Q108" i="1"/>
  <c r="Q116" i="1"/>
  <c r="Q124" i="1"/>
  <c r="P146" i="1"/>
  <c r="P175" i="1"/>
  <c r="Q202" i="1"/>
  <c r="Q216" i="1"/>
  <c r="Q153" i="1"/>
  <c r="P199" i="1"/>
  <c r="P128" i="1"/>
  <c r="Q181" i="1"/>
  <c r="P206" i="1"/>
  <c r="P212" i="1"/>
  <c r="Q220" i="1"/>
  <c r="P190" i="1"/>
  <c r="Q190" i="1"/>
  <c r="Q223" i="1"/>
  <c r="P186" i="1"/>
  <c r="P52" i="1"/>
  <c r="P65" i="1"/>
  <c r="P61" i="1"/>
  <c r="P84" i="1"/>
  <c r="Q170" i="1"/>
  <c r="Q112" i="1"/>
  <c r="P162" i="1"/>
  <c r="Q218" i="1"/>
  <c r="Q200" i="1"/>
  <c r="Q51" i="1"/>
  <c r="P17" i="1"/>
  <c r="P36" i="1"/>
  <c r="Q44" i="1"/>
  <c r="P13" i="1"/>
  <c r="Q20" i="1"/>
  <c r="Q60" i="1"/>
  <c r="Q73" i="1"/>
  <c r="P32" i="1"/>
  <c r="P40" i="1"/>
  <c r="Q56" i="1"/>
  <c r="Q77" i="1"/>
  <c r="P45" i="1"/>
  <c r="P100" i="1"/>
  <c r="Q107" i="1"/>
  <c r="P88" i="1"/>
  <c r="P149" i="1"/>
  <c r="P167" i="1"/>
  <c r="Q145" i="1"/>
  <c r="P112" i="1"/>
  <c r="P120" i="1"/>
  <c r="P132" i="1"/>
  <c r="Q149" i="1"/>
  <c r="Q210" i="1"/>
  <c r="Q37" i="1"/>
  <c r="P140" i="1"/>
  <c r="Q128" i="1"/>
  <c r="P196" i="1"/>
  <c r="Q206" i="1"/>
  <c r="P204" i="1"/>
  <c r="Q212" i="1"/>
  <c r="Q186" i="1"/>
  <c r="P214" i="1"/>
  <c r="P4" i="1"/>
  <c r="D10" i="37"/>
  <c r="K8" i="33"/>
  <c r="Q105" i="1"/>
  <c r="Q75" i="1"/>
  <c r="P119" i="1"/>
  <c r="Q101" i="1"/>
  <c r="Q177" i="1"/>
  <c r="P21" i="1"/>
  <c r="P48" i="1"/>
  <c r="Q81" i="1"/>
  <c r="P179" i="1"/>
  <c r="Q178" i="1"/>
  <c r="P143" i="1"/>
  <c r="Q138" i="1"/>
  <c r="Q135" i="1"/>
  <c r="Q114" i="1"/>
  <c r="P79" i="1"/>
  <c r="Q158" i="1"/>
  <c r="K10" i="33"/>
  <c r="J45" i="33"/>
  <c r="J13" i="33"/>
  <c r="J5" i="33"/>
  <c r="J10" i="33"/>
  <c r="J28" i="33"/>
  <c r="J37" i="33"/>
  <c r="J7" i="33"/>
  <c r="J43" i="33"/>
  <c r="J12" i="33"/>
  <c r="J8" i="33"/>
  <c r="K4" i="33"/>
  <c r="J4" i="33"/>
  <c r="Q46" i="1"/>
  <c r="Q74" i="1"/>
  <c r="P82" i="1"/>
  <c r="P164" i="1"/>
  <c r="Q197" i="1"/>
  <c r="P203" i="1"/>
  <c r="P89" i="1"/>
  <c r="P159" i="1"/>
  <c r="P106" i="1"/>
  <c r="Q123" i="1"/>
  <c r="Q86" i="1"/>
  <c r="P210" i="1"/>
  <c r="Q219" i="1"/>
  <c r="P218" i="1"/>
  <c r="Q211" i="1"/>
  <c r="P188" i="1"/>
  <c r="Q102" i="1"/>
  <c r="P178" i="1"/>
  <c r="Q58" i="1"/>
  <c r="K5" i="33"/>
  <c r="K31" i="33"/>
  <c r="K35" i="33"/>
  <c r="K39" i="33"/>
  <c r="K7" i="33"/>
  <c r="K32" i="33"/>
  <c r="J6" i="33"/>
  <c r="K42" i="33"/>
  <c r="K41" i="33"/>
  <c r="K14" i="33"/>
  <c r="K44" i="33"/>
  <c r="K29" i="33"/>
  <c r="K34" i="33"/>
  <c r="K38" i="33"/>
  <c r="J14" i="33"/>
  <c r="P47" i="1"/>
  <c r="P83" i="1"/>
  <c r="Q106" i="1"/>
  <c r="P136" i="1"/>
  <c r="P102" i="1"/>
  <c r="Q169" i="1"/>
  <c r="P30" i="1"/>
  <c r="Q160" i="1"/>
  <c r="K12" i="33"/>
  <c r="K26" i="33"/>
  <c r="K13" i="33"/>
  <c r="K6" i="33"/>
  <c r="K23" i="33"/>
  <c r="K27" i="33"/>
  <c r="K36" i="33"/>
  <c r="K43" i="33"/>
  <c r="K45" i="33"/>
  <c r="K19" i="33"/>
  <c r="K24" i="33"/>
  <c r="K28" i="33"/>
  <c r="K33" i="33"/>
  <c r="K37" i="33"/>
  <c r="K20" i="33"/>
  <c r="K25" i="33"/>
  <c r="J24" i="33"/>
  <c r="J29" i="33"/>
  <c r="J39" i="33"/>
  <c r="J31" i="33"/>
  <c r="J25" i="33"/>
  <c r="J32" i="33"/>
  <c r="J19" i="33"/>
  <c r="J33" i="33"/>
  <c r="J41" i="33"/>
  <c r="J26" i="33"/>
  <c r="J34" i="33"/>
  <c r="J20" i="33"/>
  <c r="J35" i="33"/>
  <c r="J42" i="33"/>
  <c r="J44" i="33"/>
  <c r="J27" i="33"/>
  <c r="J38" i="33"/>
  <c r="J23" i="33"/>
  <c r="J36" i="33"/>
  <c r="Q65" i="1"/>
  <c r="P54" i="1"/>
  <c r="Q54" i="1"/>
  <c r="Q142" i="1"/>
  <c r="P142" i="1"/>
  <c r="E15" i="20"/>
</calcChain>
</file>

<file path=xl/sharedStrings.xml><?xml version="1.0" encoding="utf-8"?>
<sst xmlns="http://schemas.openxmlformats.org/spreadsheetml/2006/main" count="3446" uniqueCount="1701">
  <si>
    <t>TIPO DE MEDICAMENTO</t>
  </si>
  <si>
    <t>MEDICAMENTO</t>
  </si>
  <si>
    <t>APRESENTAÇÃO FARMACÊUTICA/ ESPECIFICAÇÃO</t>
  </si>
  <si>
    <t>FORMA FARMACÊUTICA</t>
  </si>
  <si>
    <t>0.1</t>
  </si>
  <si>
    <t>01 - Medicamentos Padronizados (Farmácia)</t>
  </si>
  <si>
    <t>Aciclovir</t>
  </si>
  <si>
    <t>200mg</t>
  </si>
  <si>
    <t>COMPRIMIDO</t>
  </si>
  <si>
    <t>0.2</t>
  </si>
  <si>
    <t>50mg/g</t>
  </si>
  <si>
    <t>CREME</t>
  </si>
  <si>
    <t>0.3</t>
  </si>
  <si>
    <t>Ácido Acetilsalicílico</t>
  </si>
  <si>
    <t>100mg</t>
  </si>
  <si>
    <t>0.4</t>
  </si>
  <si>
    <t>Ácido Fólico</t>
  </si>
  <si>
    <t>5mg</t>
  </si>
  <si>
    <t>0.5</t>
  </si>
  <si>
    <t>----</t>
  </si>
  <si>
    <t>FRASCO</t>
  </si>
  <si>
    <t>0.6</t>
  </si>
  <si>
    <t>Ácido Valpróico</t>
  </si>
  <si>
    <t>250 mg</t>
  </si>
  <si>
    <t>0.7</t>
  </si>
  <si>
    <t>Água</t>
  </si>
  <si>
    <t>Destilada</t>
  </si>
  <si>
    <t>AMPOLA DE 10ML</t>
  </si>
  <si>
    <t>0.8</t>
  </si>
  <si>
    <t>0.9</t>
  </si>
  <si>
    <t>Alopurinol</t>
  </si>
  <si>
    <t>0.10</t>
  </si>
  <si>
    <t>Ambroxol</t>
  </si>
  <si>
    <t>15mg/5ml</t>
  </si>
  <si>
    <t xml:space="preserve">XAROPE </t>
  </si>
  <si>
    <t>0.11</t>
  </si>
  <si>
    <t>Aminofilina</t>
  </si>
  <si>
    <t>0.12</t>
  </si>
  <si>
    <t>Aminofilina*</t>
  </si>
  <si>
    <t>24mg/ml</t>
  </si>
  <si>
    <t>AMPOLA</t>
  </si>
  <si>
    <t>0.13</t>
  </si>
  <si>
    <t>Amiodarona</t>
  </si>
  <si>
    <t>0.14</t>
  </si>
  <si>
    <t>Amiodarona*</t>
  </si>
  <si>
    <t>50mg/ml</t>
  </si>
  <si>
    <t>0.15</t>
  </si>
  <si>
    <t>Amitriptilina</t>
  </si>
  <si>
    <t>25mg</t>
  </si>
  <si>
    <t>0.16</t>
  </si>
  <si>
    <t>Amoxicilina</t>
  </si>
  <si>
    <t>500mg</t>
  </si>
  <si>
    <t>CÁPSULA</t>
  </si>
  <si>
    <t>0.17</t>
  </si>
  <si>
    <t xml:space="preserve">Amoxicilina + Clavulanato De Potássio </t>
  </si>
  <si>
    <t>500mg + 100mg</t>
  </si>
  <si>
    <t>FRASCO/AMPOLA</t>
  </si>
  <si>
    <t>0.18</t>
  </si>
  <si>
    <t>500 mg +125 mg</t>
  </si>
  <si>
    <t>0.19</t>
  </si>
  <si>
    <t xml:space="preserve">Ampicilina </t>
  </si>
  <si>
    <t>500 mg/ml</t>
  </si>
  <si>
    <t>0.20</t>
  </si>
  <si>
    <t>Anlodipino</t>
  </si>
  <si>
    <t>10 mg</t>
  </si>
  <si>
    <t>0.21</t>
  </si>
  <si>
    <t>5 mg</t>
  </si>
  <si>
    <t>0.22</t>
  </si>
  <si>
    <t>Atenolol</t>
  </si>
  <si>
    <t>50mg</t>
  </si>
  <si>
    <t>0.23</t>
  </si>
  <si>
    <t>Atropina*</t>
  </si>
  <si>
    <t>0,5mg/ml</t>
  </si>
  <si>
    <t>0.24</t>
  </si>
  <si>
    <t>Azitromicina</t>
  </si>
  <si>
    <t>0.25</t>
  </si>
  <si>
    <t>Beclometasona</t>
  </si>
  <si>
    <t>250mcg</t>
  </si>
  <si>
    <t>SPRAY</t>
  </si>
  <si>
    <t>0.26</t>
  </si>
  <si>
    <t>Benzilpenicilina</t>
  </si>
  <si>
    <t>1.200.000UI</t>
  </si>
  <si>
    <t>0.27</t>
  </si>
  <si>
    <t>Benzoato De Benzila</t>
  </si>
  <si>
    <t>250 mg/ml</t>
  </si>
  <si>
    <t>EMULSÃO TÓPICA</t>
  </si>
  <si>
    <t>0.28</t>
  </si>
  <si>
    <t>SABONETE</t>
  </si>
  <si>
    <t>0.29</t>
  </si>
  <si>
    <t xml:space="preserve">Bicarbonato De Sódio* </t>
  </si>
  <si>
    <t>FRASCO 250 ML</t>
  </si>
  <si>
    <t>0.30</t>
  </si>
  <si>
    <t>Biperideno</t>
  </si>
  <si>
    <t>2mg</t>
  </si>
  <si>
    <t>0.31</t>
  </si>
  <si>
    <t xml:space="preserve">Biperideno* </t>
  </si>
  <si>
    <t>5 mg/ml</t>
  </si>
  <si>
    <t>0.32</t>
  </si>
  <si>
    <t>Bisacodil</t>
  </si>
  <si>
    <t>DRÁGEA</t>
  </si>
  <si>
    <t>0.33</t>
  </si>
  <si>
    <t xml:space="preserve">Bromoprida </t>
  </si>
  <si>
    <t>SOLUÇÃO ORAL</t>
  </si>
  <si>
    <t>0.34</t>
  </si>
  <si>
    <t>10mg</t>
  </si>
  <si>
    <t>0.35</t>
  </si>
  <si>
    <t>0.36</t>
  </si>
  <si>
    <t>Captopril</t>
  </si>
  <si>
    <t>0.37</t>
  </si>
  <si>
    <t>Carbamazepina</t>
  </si>
  <si>
    <t>0.38</t>
  </si>
  <si>
    <t xml:space="preserve">Carbonato De Lítio </t>
  </si>
  <si>
    <t>300 mg</t>
  </si>
  <si>
    <t>0.39</t>
  </si>
  <si>
    <t>0.40</t>
  </si>
  <si>
    <t>Carvedilol</t>
  </si>
  <si>
    <t>3,125 mg</t>
  </si>
  <si>
    <t>0.41</t>
  </si>
  <si>
    <t>6,25 mg</t>
  </si>
  <si>
    <t>0.42</t>
  </si>
  <si>
    <t>12,5 mg</t>
  </si>
  <si>
    <t>0.43</t>
  </si>
  <si>
    <t>Cefalexina</t>
  </si>
  <si>
    <t>0.44</t>
  </si>
  <si>
    <t>Cefalotina</t>
  </si>
  <si>
    <t xml:space="preserve"> 1 g/ml</t>
  </si>
  <si>
    <t>0.45</t>
  </si>
  <si>
    <t>Ceftriaxona</t>
  </si>
  <si>
    <t>0.46</t>
  </si>
  <si>
    <t>Cetoconazol</t>
  </si>
  <si>
    <t>20 mg/g</t>
  </si>
  <si>
    <t>0.47</t>
  </si>
  <si>
    <t>XAMPU</t>
  </si>
  <si>
    <t>0.48</t>
  </si>
  <si>
    <t>200 mg</t>
  </si>
  <si>
    <t>0.49</t>
  </si>
  <si>
    <t>Cetoprofeno</t>
  </si>
  <si>
    <t xml:space="preserve"> 100 mg/2 ml</t>
  </si>
  <si>
    <t>0.50</t>
  </si>
  <si>
    <t xml:space="preserve">Cinarizina </t>
  </si>
  <si>
    <t>25 mg</t>
  </si>
  <si>
    <t>0.51</t>
  </si>
  <si>
    <t>75 mg</t>
  </si>
  <si>
    <t>0.52</t>
  </si>
  <si>
    <t>Ciprofibrato</t>
  </si>
  <si>
    <t>0.53</t>
  </si>
  <si>
    <t>Ciprofloxacino</t>
  </si>
  <si>
    <t>0.54</t>
  </si>
  <si>
    <t>Claritromicina</t>
  </si>
  <si>
    <t>0.55</t>
  </si>
  <si>
    <t>Clobetasol</t>
  </si>
  <si>
    <t>0,5mg/g</t>
  </si>
  <si>
    <t>0.56</t>
  </si>
  <si>
    <t>Clonazepam</t>
  </si>
  <si>
    <t>2 mg</t>
  </si>
  <si>
    <t>0.57</t>
  </si>
  <si>
    <t xml:space="preserve">Clonazepam </t>
  </si>
  <si>
    <t>0,5 mg</t>
  </si>
  <si>
    <t>0.58</t>
  </si>
  <si>
    <t>Cloreto De Potássio*</t>
  </si>
  <si>
    <t>0.59</t>
  </si>
  <si>
    <t>Cloreto de Sódio</t>
  </si>
  <si>
    <t>0,9%/100ml</t>
  </si>
  <si>
    <t>FRASCO/BOLSA</t>
  </si>
  <si>
    <t>0.60</t>
  </si>
  <si>
    <t>0,9%/250ml</t>
  </si>
  <si>
    <t>0.61</t>
  </si>
  <si>
    <t>0,9%/500ml</t>
  </si>
  <si>
    <t>0.62</t>
  </si>
  <si>
    <t xml:space="preserve">Cloreto De Sódio* </t>
  </si>
  <si>
    <t>0.63</t>
  </si>
  <si>
    <t>Cloreto De Sódio + Cloreto De Benzalcônio</t>
  </si>
  <si>
    <t>0,9 % + 0,1 mg/ml</t>
  </si>
  <si>
    <t>SOLUÇÃO NASAL</t>
  </si>
  <si>
    <t>0.64</t>
  </si>
  <si>
    <t>Clorpromazina</t>
  </si>
  <si>
    <t>0.65</t>
  </si>
  <si>
    <t>0.66</t>
  </si>
  <si>
    <t xml:space="preserve">Clorpromazina* </t>
  </si>
  <si>
    <t>0.67</t>
  </si>
  <si>
    <t xml:space="preserve">Codeína </t>
  </si>
  <si>
    <t>30 mg</t>
  </si>
  <si>
    <t>0.68</t>
  </si>
  <si>
    <t>Colagenase</t>
  </si>
  <si>
    <t xml:space="preserve">0,6UI/g </t>
  </si>
  <si>
    <t>POMADA</t>
  </si>
  <si>
    <t>0.69</t>
  </si>
  <si>
    <t>Colagenase Com Cloranfenicol</t>
  </si>
  <si>
    <t xml:space="preserve"> 0,6 UI/g + 0,01G/g</t>
  </si>
  <si>
    <t>0.70</t>
  </si>
  <si>
    <t>Complexo B</t>
  </si>
  <si>
    <t>---</t>
  </si>
  <si>
    <t>0.71</t>
  </si>
  <si>
    <t xml:space="preserve">Complexo B </t>
  </si>
  <si>
    <t>4 mg/ml</t>
  </si>
  <si>
    <t>0.72</t>
  </si>
  <si>
    <t>0.73</t>
  </si>
  <si>
    <t>Dexametasona</t>
  </si>
  <si>
    <t>1 mg/ml</t>
  </si>
  <si>
    <t>SOLUÇÃO OFTÁLMICA</t>
  </si>
  <si>
    <t>0.74</t>
  </si>
  <si>
    <t>1mg/g</t>
  </si>
  <si>
    <t>0.75</t>
  </si>
  <si>
    <t xml:space="preserve">Dexametasona </t>
  </si>
  <si>
    <t>0.76</t>
  </si>
  <si>
    <t>Dexclorfeniramina</t>
  </si>
  <si>
    <t>0.77</t>
  </si>
  <si>
    <t>Diazepam</t>
  </si>
  <si>
    <t>0.78</t>
  </si>
  <si>
    <t>Diazepam*</t>
  </si>
  <si>
    <t>0.79</t>
  </si>
  <si>
    <t xml:space="preserve"> 5 mg</t>
  </si>
  <si>
    <t>0.80</t>
  </si>
  <si>
    <t>Diclofenaco Dietilamonico</t>
  </si>
  <si>
    <t>11,6mg/g</t>
  </si>
  <si>
    <t>GEL</t>
  </si>
  <si>
    <t>0.81</t>
  </si>
  <si>
    <t>Diclofenaco Sódico</t>
  </si>
  <si>
    <t>25mg/ml</t>
  </si>
  <si>
    <t>0.82</t>
  </si>
  <si>
    <t>0.83</t>
  </si>
  <si>
    <t xml:space="preserve">Digoxina  </t>
  </si>
  <si>
    <t>0,25 mg</t>
  </si>
  <si>
    <t>0.84</t>
  </si>
  <si>
    <t xml:space="preserve">Dimenidrinato + Cl. Piredoxina* </t>
  </si>
  <si>
    <t>30mg + 50mg</t>
  </si>
  <si>
    <t>0.85</t>
  </si>
  <si>
    <t>Diosmina + Hesperidina</t>
  </si>
  <si>
    <t>450mg + 50mg</t>
  </si>
  <si>
    <t>0.86</t>
  </si>
  <si>
    <t>Dipirona (Sódica)</t>
  </si>
  <si>
    <t>0.87</t>
  </si>
  <si>
    <t xml:space="preserve">Dipirona (Sódica) </t>
  </si>
  <si>
    <t>500mg/ml</t>
  </si>
  <si>
    <t>0.88</t>
  </si>
  <si>
    <t>0.89</t>
  </si>
  <si>
    <t>Domperidona</t>
  </si>
  <si>
    <t>1mg/ml</t>
  </si>
  <si>
    <t>SUSPENSÃO ORAL</t>
  </si>
  <si>
    <t>0.90</t>
  </si>
  <si>
    <t xml:space="preserve">Domperidona </t>
  </si>
  <si>
    <t>0.91</t>
  </si>
  <si>
    <t>0.92</t>
  </si>
  <si>
    <t>Efedrina*</t>
  </si>
  <si>
    <t>0.93</t>
  </si>
  <si>
    <t>Enalapril</t>
  </si>
  <si>
    <t>0.94</t>
  </si>
  <si>
    <t>Epinefrina*</t>
  </si>
  <si>
    <t>0.95</t>
  </si>
  <si>
    <t>Eritromicina</t>
  </si>
  <si>
    <t>0.96</t>
  </si>
  <si>
    <t>Escopolamina</t>
  </si>
  <si>
    <t>20mg/ml</t>
  </si>
  <si>
    <t>0.97</t>
  </si>
  <si>
    <t xml:space="preserve">Escopolamina  </t>
  </si>
  <si>
    <t>0.98</t>
  </si>
  <si>
    <t>Espirinolactona</t>
  </si>
  <si>
    <t>0.99</t>
  </si>
  <si>
    <t>Etinilestradiol + Levonorgestrel</t>
  </si>
  <si>
    <t>0.100</t>
  </si>
  <si>
    <t>0.101</t>
  </si>
  <si>
    <t>Fenitoína*</t>
  </si>
  <si>
    <t>0.102</t>
  </si>
  <si>
    <t>Fenobarbital</t>
  </si>
  <si>
    <t>0.103</t>
  </si>
  <si>
    <t xml:space="preserve">Fenobarbital* </t>
  </si>
  <si>
    <t>100 mg/ml</t>
  </si>
  <si>
    <t>0.104</t>
  </si>
  <si>
    <t>Fenoterol*</t>
  </si>
  <si>
    <t>5mg/ml</t>
  </si>
  <si>
    <t>SOLUÇÃO INALANTE</t>
  </si>
  <si>
    <t>0.105</t>
  </si>
  <si>
    <t>0.106</t>
  </si>
  <si>
    <t>Fluconazol</t>
  </si>
  <si>
    <t>150mg</t>
  </si>
  <si>
    <t>0.107</t>
  </si>
  <si>
    <t xml:space="preserve">Flumazenil* </t>
  </si>
  <si>
    <t>0,1 mg/ml</t>
  </si>
  <si>
    <t>0.108</t>
  </si>
  <si>
    <t>Flunarizina</t>
  </si>
  <si>
    <t>0.109</t>
  </si>
  <si>
    <t>Fluocinolona Acetonida + Neomicina, Sulfato + Polimixina B, Sulfato + Lidocaína, Cloridrato</t>
  </si>
  <si>
    <t>0,275mg/ml+3,85mg/ml+11.000UI/ml+20mg/ml</t>
  </si>
  <si>
    <t>SOLUÇÃO OTOLÓGICA</t>
  </si>
  <si>
    <t>0.110</t>
  </si>
  <si>
    <t>Fluoxetina</t>
  </si>
  <si>
    <t>20 mg</t>
  </si>
  <si>
    <t>0.111</t>
  </si>
  <si>
    <t>Fosfato Dissódico Mono E Dibásico</t>
  </si>
  <si>
    <t>(160 + 60) mg/ml</t>
  </si>
  <si>
    <t>ENEMA</t>
  </si>
  <si>
    <t>0.112</t>
  </si>
  <si>
    <t>Furosemida</t>
  </si>
  <si>
    <t>40mg</t>
  </si>
  <si>
    <t>0.113</t>
  </si>
  <si>
    <t>Furosemida*</t>
  </si>
  <si>
    <t>10 mg/ml</t>
  </si>
  <si>
    <t>0.114</t>
  </si>
  <si>
    <t>Gentamicina</t>
  </si>
  <si>
    <t>COLÍRIO</t>
  </si>
  <si>
    <t>0.115</t>
  </si>
  <si>
    <t xml:space="preserve">Gentamicina </t>
  </si>
  <si>
    <t xml:space="preserve">40 MG/ML </t>
  </si>
  <si>
    <t>0.116</t>
  </si>
  <si>
    <t>Glibenclamida</t>
  </si>
  <si>
    <t>0.117</t>
  </si>
  <si>
    <t>0.118</t>
  </si>
  <si>
    <t xml:space="preserve">Glicose </t>
  </si>
  <si>
    <t>250ml/5%</t>
  </si>
  <si>
    <t>0.119</t>
  </si>
  <si>
    <t>Glicose Hipertônica</t>
  </si>
  <si>
    <t>FRASCO/ AMPOLA</t>
  </si>
  <si>
    <t>0.120</t>
  </si>
  <si>
    <t>0.121</t>
  </si>
  <si>
    <t>Haloperidol</t>
  </si>
  <si>
    <t>1mg</t>
  </si>
  <si>
    <t>0.122</t>
  </si>
  <si>
    <t>0.123</t>
  </si>
  <si>
    <t>0.124</t>
  </si>
  <si>
    <t xml:space="preserve">Haloperidol, Decanoato </t>
  </si>
  <si>
    <t>50 mg/ml</t>
  </si>
  <si>
    <t>0.125</t>
  </si>
  <si>
    <t xml:space="preserve">Heparina* </t>
  </si>
  <si>
    <t xml:space="preserve">5.000 UI 0,25 ml </t>
  </si>
  <si>
    <t>0.126</t>
  </si>
  <si>
    <t>Hidroclorotiazida</t>
  </si>
  <si>
    <t>0.127</t>
  </si>
  <si>
    <t>Hidrocortisona</t>
  </si>
  <si>
    <t>0.128</t>
  </si>
  <si>
    <t>0.129</t>
  </si>
  <si>
    <t>0.130</t>
  </si>
  <si>
    <t>Hidróxido De Alumínio</t>
  </si>
  <si>
    <t>61,5 mg/ml</t>
  </si>
  <si>
    <t xml:space="preserve">SUSPENSÃO ORAL </t>
  </si>
  <si>
    <t>0.131</t>
  </si>
  <si>
    <t xml:space="preserve">Hidroxiquinolina + Trolamina </t>
  </si>
  <si>
    <t>(0,4 + 140) mg/ml</t>
  </si>
  <si>
    <t>0.132</t>
  </si>
  <si>
    <t xml:space="preserve">Hipromelose </t>
  </si>
  <si>
    <t>0.133</t>
  </si>
  <si>
    <t>Ibuprofeno</t>
  </si>
  <si>
    <t>300mg</t>
  </si>
  <si>
    <t>0.134</t>
  </si>
  <si>
    <t xml:space="preserve">Ibuprofeno </t>
  </si>
  <si>
    <t>0.135</t>
  </si>
  <si>
    <t>Imipramina</t>
  </si>
  <si>
    <t>0.136</t>
  </si>
  <si>
    <t>02 - Medicamentos sujeitos à controle especial (Portaria 344/98, de 12/05/98)</t>
  </si>
  <si>
    <t>Insulina NPH</t>
  </si>
  <si>
    <t>100UI/ml</t>
  </si>
  <si>
    <t>0.137</t>
  </si>
  <si>
    <t>Insulina Regular</t>
  </si>
  <si>
    <t>0.138</t>
  </si>
  <si>
    <t>Ipratrópio*</t>
  </si>
  <si>
    <t>0,25mg/ml</t>
  </si>
  <si>
    <t>0.139</t>
  </si>
  <si>
    <t>Isossorbida</t>
  </si>
  <si>
    <t>0.140</t>
  </si>
  <si>
    <t xml:space="preserve">Isossorbida </t>
  </si>
  <si>
    <t>0.141</t>
  </si>
  <si>
    <t>Ivermectina</t>
  </si>
  <si>
    <t>6mg</t>
  </si>
  <si>
    <t>0.142</t>
  </si>
  <si>
    <t>Levofloxacino</t>
  </si>
  <si>
    <t>0.143</t>
  </si>
  <si>
    <t>Levomepromazina</t>
  </si>
  <si>
    <t>0.144</t>
  </si>
  <si>
    <t>0.145</t>
  </si>
  <si>
    <t>Lidocaína*</t>
  </si>
  <si>
    <t>GELÉIA</t>
  </si>
  <si>
    <t>0.146</t>
  </si>
  <si>
    <t>0.147</t>
  </si>
  <si>
    <t>0.148</t>
  </si>
  <si>
    <t>Lidocaína Sem Vasoconstrictor*</t>
  </si>
  <si>
    <t>0.149</t>
  </si>
  <si>
    <t>Loperamida</t>
  </si>
  <si>
    <t>0.150</t>
  </si>
  <si>
    <t>Loratadina</t>
  </si>
  <si>
    <t>0.151</t>
  </si>
  <si>
    <t xml:space="preserve">Losartana </t>
  </si>
  <si>
    <t>0.152</t>
  </si>
  <si>
    <t xml:space="preserve">Manitol </t>
  </si>
  <si>
    <t>BOLSA 250 ML</t>
  </si>
  <si>
    <t>0.153</t>
  </si>
  <si>
    <t>Metformina</t>
  </si>
  <si>
    <t>0.154</t>
  </si>
  <si>
    <t>850mg</t>
  </si>
  <si>
    <t>0.155</t>
  </si>
  <si>
    <t>Metildopa</t>
  </si>
  <si>
    <t>250mg</t>
  </si>
  <si>
    <t>0.156</t>
  </si>
  <si>
    <t>Metoclopramida</t>
  </si>
  <si>
    <t>0.157</t>
  </si>
  <si>
    <t>Metoprolol</t>
  </si>
  <si>
    <t xml:space="preserve"> 50 mg</t>
  </si>
  <si>
    <t>0.159</t>
  </si>
  <si>
    <t>Metronidazol</t>
  </si>
  <si>
    <t>0.160</t>
  </si>
  <si>
    <t>100 mg/g</t>
  </si>
  <si>
    <t>GEL VAGINAL</t>
  </si>
  <si>
    <t>0.161</t>
  </si>
  <si>
    <t>Miconazol</t>
  </si>
  <si>
    <t>0.162</t>
  </si>
  <si>
    <t xml:space="preserve">Miconazol </t>
  </si>
  <si>
    <t xml:space="preserve">20 mg/g </t>
  </si>
  <si>
    <t>CREME VAGINAL</t>
  </si>
  <si>
    <t>0.163</t>
  </si>
  <si>
    <t>Midazolam*</t>
  </si>
  <si>
    <t>0.164</t>
  </si>
  <si>
    <t xml:space="preserve">Midazolam </t>
  </si>
  <si>
    <t>15 mg</t>
  </si>
  <si>
    <t>0.165</t>
  </si>
  <si>
    <t xml:space="preserve">Morfina* </t>
  </si>
  <si>
    <t>0.166</t>
  </si>
  <si>
    <t xml:space="preserve">Mupirocina </t>
  </si>
  <si>
    <t>0.167</t>
  </si>
  <si>
    <t xml:space="preserve">Naloxona* </t>
  </si>
  <si>
    <t>0,4 mg/ml</t>
  </si>
  <si>
    <t>0.168</t>
  </si>
  <si>
    <t>Neomicina + Bacitracina</t>
  </si>
  <si>
    <t>5mg/g + 250UI/g</t>
  </si>
  <si>
    <t xml:space="preserve">POMADA </t>
  </si>
  <si>
    <t>0.169</t>
  </si>
  <si>
    <t>Nifedipino</t>
  </si>
  <si>
    <t>0.170</t>
  </si>
  <si>
    <t>03 - Lista de Medicamentos para maleta de emergência</t>
  </si>
  <si>
    <t>Nimesulida</t>
  </si>
  <si>
    <t>0.171</t>
  </si>
  <si>
    <t>Nistatina</t>
  </si>
  <si>
    <t>25.000UI/g</t>
  </si>
  <si>
    <t>0.172</t>
  </si>
  <si>
    <t xml:space="preserve">Nistatina </t>
  </si>
  <si>
    <t>100.000 UI</t>
  </si>
  <si>
    <t>0.173</t>
  </si>
  <si>
    <t>Nistatina + Óxido de Zinco</t>
  </si>
  <si>
    <t>100.000U/g + 200mg/g</t>
  </si>
  <si>
    <t>0.177</t>
  </si>
  <si>
    <t xml:space="preserve">Noretisterona, Enantato + Estradiol, Valerato </t>
  </si>
  <si>
    <t>50mg+5mg/ml</t>
  </si>
  <si>
    <t>0.178</t>
  </si>
  <si>
    <t>Óleo Mineral</t>
  </si>
  <si>
    <t>0.179</t>
  </si>
  <si>
    <t>Omeprazol</t>
  </si>
  <si>
    <t>20mg</t>
  </si>
  <si>
    <t>0.180</t>
  </si>
  <si>
    <t xml:space="preserve">Omeprazol </t>
  </si>
  <si>
    <t>40 mg/ 10 ml</t>
  </si>
  <si>
    <t>0.181</t>
  </si>
  <si>
    <t>Paracetamol</t>
  </si>
  <si>
    <t>0.182</t>
  </si>
  <si>
    <t>200 mg/ ml</t>
  </si>
  <si>
    <t>0.183</t>
  </si>
  <si>
    <t>Permetrina</t>
  </si>
  <si>
    <t>LÇ CAPILAR</t>
  </si>
  <si>
    <t>0.184</t>
  </si>
  <si>
    <t xml:space="preserve">Permetrina </t>
  </si>
  <si>
    <t>LÇ CORPORAL</t>
  </si>
  <si>
    <t>0.185</t>
  </si>
  <si>
    <t xml:space="preserve">Petidina* </t>
  </si>
  <si>
    <t>0.186</t>
  </si>
  <si>
    <t>Policresuleno + Cinchocaína</t>
  </si>
  <si>
    <t>0,1g/g+0,01g/g</t>
  </si>
  <si>
    <t>0.187</t>
  </si>
  <si>
    <t>Polivitamínico</t>
  </si>
  <si>
    <t>0.188</t>
  </si>
  <si>
    <t>Prednisona</t>
  </si>
  <si>
    <t>0.189</t>
  </si>
  <si>
    <t>Prometazina</t>
  </si>
  <si>
    <t>0.190</t>
  </si>
  <si>
    <t>0.191</t>
  </si>
  <si>
    <t>Propranolol</t>
  </si>
  <si>
    <t>0.192</t>
  </si>
  <si>
    <t xml:space="preserve">Protamina* </t>
  </si>
  <si>
    <t>0.193</t>
  </si>
  <si>
    <t>Ranitidina</t>
  </si>
  <si>
    <t>0.194</t>
  </si>
  <si>
    <t xml:space="preserve">Ranitidina </t>
  </si>
  <si>
    <t>0.195</t>
  </si>
  <si>
    <t>Reidratante Oral</t>
  </si>
  <si>
    <t>27,9g</t>
  </si>
  <si>
    <t>PÓ (ENVELOPE)</t>
  </si>
  <si>
    <t>0.196</t>
  </si>
  <si>
    <t>Ringer Lactato*</t>
  </si>
  <si>
    <t>500 ML</t>
  </si>
  <si>
    <t xml:space="preserve">FRASCO </t>
  </si>
  <si>
    <t>0.198</t>
  </si>
  <si>
    <t>Risperidona</t>
  </si>
  <si>
    <t>0.199</t>
  </si>
  <si>
    <t>Salbutamol</t>
  </si>
  <si>
    <t>0.200</t>
  </si>
  <si>
    <t>0,4mg/ml</t>
  </si>
  <si>
    <t>XAROPE</t>
  </si>
  <si>
    <t>0.201</t>
  </si>
  <si>
    <t>100 mcg</t>
  </si>
  <si>
    <t>0.202</t>
  </si>
  <si>
    <t xml:space="preserve">Salbutamol* </t>
  </si>
  <si>
    <t>0,5 mg/ml</t>
  </si>
  <si>
    <t>0.203</t>
  </si>
  <si>
    <t xml:space="preserve">Simeticona </t>
  </si>
  <si>
    <t>40 mg</t>
  </si>
  <si>
    <t>0.204</t>
  </si>
  <si>
    <t>75 mg/ml</t>
  </si>
  <si>
    <t>0.205</t>
  </si>
  <si>
    <t>Sinvastatina</t>
  </si>
  <si>
    <t>0.206</t>
  </si>
  <si>
    <t>Sulfadiazina De Prata</t>
  </si>
  <si>
    <t>10 mg/g</t>
  </si>
  <si>
    <t>PASTA</t>
  </si>
  <si>
    <t>0.207</t>
  </si>
  <si>
    <t>Sulfametoxazol + Trimetoprima</t>
  </si>
  <si>
    <t>400mg + 80mg</t>
  </si>
  <si>
    <t>0.209</t>
  </si>
  <si>
    <t>Sulfato Ferroso</t>
  </si>
  <si>
    <t>0.210</t>
  </si>
  <si>
    <t xml:space="preserve">Sulpirida </t>
  </si>
  <si>
    <t>0.211</t>
  </si>
  <si>
    <t>Supositório De Glicerina Adulto</t>
  </si>
  <si>
    <t>SUPOSITÓRIO</t>
  </si>
  <si>
    <t>0.212</t>
  </si>
  <si>
    <t>Supositório De Glicerina Lactente</t>
  </si>
  <si>
    <t>0.213</t>
  </si>
  <si>
    <t>Suxametônio*</t>
  </si>
  <si>
    <t>0.214</t>
  </si>
  <si>
    <t xml:space="preserve">Tiamina </t>
  </si>
  <si>
    <t>0.215</t>
  </si>
  <si>
    <t>Tioridazina</t>
  </si>
  <si>
    <t xml:space="preserve">100mg </t>
  </si>
  <si>
    <t>0.216</t>
  </si>
  <si>
    <t xml:space="preserve">Tobramicina </t>
  </si>
  <si>
    <t>3 mg/ml</t>
  </si>
  <si>
    <t>0.217</t>
  </si>
  <si>
    <t>Tramadol</t>
  </si>
  <si>
    <t>0.218</t>
  </si>
  <si>
    <t>0.219</t>
  </si>
  <si>
    <t xml:space="preserve">Triancinolona </t>
  </si>
  <si>
    <t>POMADA ORABASE</t>
  </si>
  <si>
    <t>0.220</t>
  </si>
  <si>
    <t xml:space="preserve">Varfarina </t>
  </si>
  <si>
    <t>TIPO DE MATERIAL</t>
  </si>
  <si>
    <t>MATERIAL</t>
  </si>
  <si>
    <t>ESPECIFICAÇÃO</t>
  </si>
  <si>
    <t>UNIDADE</t>
  </si>
  <si>
    <t>Abaixador de Língua</t>
  </si>
  <si>
    <t>------</t>
  </si>
  <si>
    <t>Pacote com 100 unid.</t>
  </si>
  <si>
    <t>Água destilada para autoclave</t>
  </si>
  <si>
    <t>Não injetável, não estéril e quimicamente pura.</t>
  </si>
  <si>
    <t>Frasco de 5 litros</t>
  </si>
  <si>
    <t>Água oxigenada</t>
  </si>
  <si>
    <t>10V</t>
  </si>
  <si>
    <t>Frasco de 100ml</t>
  </si>
  <si>
    <t>Agulha</t>
  </si>
  <si>
    <t>25 x 7,0</t>
  </si>
  <si>
    <t>Unidade</t>
  </si>
  <si>
    <t>40 x 12</t>
  </si>
  <si>
    <t>13 x 4,5</t>
  </si>
  <si>
    <t>Álcool etílico</t>
  </si>
  <si>
    <t>70% gel</t>
  </si>
  <si>
    <t xml:space="preserve">Frasco </t>
  </si>
  <si>
    <t>Álcool etílico hidratado</t>
  </si>
  <si>
    <t xml:space="preserve">70º GL </t>
  </si>
  <si>
    <t>Frasco de 1000ml</t>
  </si>
  <si>
    <t>Algodão hidrófilo</t>
  </si>
  <si>
    <t>500g</t>
  </si>
  <si>
    <t>Rolo</t>
  </si>
  <si>
    <t>Atadura</t>
  </si>
  <si>
    <t>10cm</t>
  </si>
  <si>
    <t>15cm</t>
  </si>
  <si>
    <t xml:space="preserve">Atadura </t>
  </si>
  <si>
    <t>20 cm</t>
  </si>
  <si>
    <t>Avental cirúrgico descartável</t>
  </si>
  <si>
    <t>Avental impermeável</t>
  </si>
  <si>
    <t xml:space="preserve">Bolsa coletora sistema fechado </t>
  </si>
  <si>
    <t>Para sonda vesical de demora</t>
  </si>
  <si>
    <t>Bolsa de cistostomia</t>
  </si>
  <si>
    <t>Adulto</t>
  </si>
  <si>
    <t>Bolsa de colostomia</t>
  </si>
  <si>
    <t>Caixa p/ descarte de resíduos perfuro cortantes</t>
  </si>
  <si>
    <t>De acordo com a NBR 13853</t>
  </si>
  <si>
    <t>Campo fenestrado</t>
  </si>
  <si>
    <t>Descartável</t>
  </si>
  <si>
    <t>Cânula de traqueostomia*</t>
  </si>
  <si>
    <t>Cateter para acesso venoso</t>
  </si>
  <si>
    <t>n.º 14</t>
  </si>
  <si>
    <t>n.º 16</t>
  </si>
  <si>
    <t>n.º 18</t>
  </si>
  <si>
    <t>n.º 20</t>
  </si>
  <si>
    <t>n.º 22</t>
  </si>
  <si>
    <t>n.º 24</t>
  </si>
  <si>
    <t>Cateter tipo óculos*</t>
  </si>
  <si>
    <t>Clorexidina Aquosa</t>
  </si>
  <si>
    <t>0,2%/100ml</t>
  </si>
  <si>
    <t>Frasco</t>
  </si>
  <si>
    <t xml:space="preserve">Clorexidina Dergemante </t>
  </si>
  <si>
    <t>4%/100ml</t>
  </si>
  <si>
    <t>Coletor de Urina e Secreções Sistema Aberto</t>
  </si>
  <si>
    <t>Compressa Cirúrgica</t>
  </si>
  <si>
    <t xml:space="preserve">Compressas de Gases </t>
  </si>
  <si>
    <t>7,5 x 7,5 cm</t>
  </si>
  <si>
    <t>Pacote com 10 UN</t>
  </si>
  <si>
    <t>Conexão duas vias</t>
  </si>
  <si>
    <t>Carretel - branco</t>
  </si>
  <si>
    <t>Curativo Alginato gel</t>
  </si>
  <si>
    <t>Curativo hidrocoloíde</t>
  </si>
  <si>
    <t>10 x 12 cm</t>
  </si>
  <si>
    <t>Caixa c/ 05 un</t>
  </si>
  <si>
    <t>Detergente Enzimático*</t>
  </si>
  <si>
    <t>FRASCO/1L</t>
  </si>
  <si>
    <t>Dipenser para lençol de papel hospitalar*</t>
  </si>
  <si>
    <t>70 cm</t>
  </si>
  <si>
    <t>Eletrodo cardíaco descartável*</t>
  </si>
  <si>
    <t xml:space="preserve">Pacote c/ 50 un </t>
  </si>
  <si>
    <t>Equipo</t>
  </si>
  <si>
    <t>Equipo*</t>
  </si>
  <si>
    <t>Fotossensivel</t>
  </si>
  <si>
    <t xml:space="preserve">Equipo </t>
  </si>
  <si>
    <t>Microgotas – Látex / Roldona</t>
  </si>
  <si>
    <t>Equipo para Nutrição Enteral*</t>
  </si>
  <si>
    <t>Escova macia para cabelos infantil*</t>
  </si>
  <si>
    <t>Esparadrapo</t>
  </si>
  <si>
    <t>10cm x 4,5m</t>
  </si>
  <si>
    <t>Especulo descartável</t>
  </si>
  <si>
    <t>Grande</t>
  </si>
  <si>
    <t xml:space="preserve">Especulo descartável </t>
  </si>
  <si>
    <t>Pequeno</t>
  </si>
  <si>
    <t>Médio</t>
  </si>
  <si>
    <t>Éter</t>
  </si>
  <si>
    <t>Frasco 1L</t>
  </si>
  <si>
    <t>Fio de nylon</t>
  </si>
  <si>
    <t>3.0 com agulha</t>
  </si>
  <si>
    <t>Caixa c/ 24 un</t>
  </si>
  <si>
    <t>4.0 com agulha</t>
  </si>
  <si>
    <t xml:space="preserve">Fio de nylon  </t>
  </si>
  <si>
    <t>2.0 com agulha</t>
  </si>
  <si>
    <t>Fio de Sutura Cat-Gut simples</t>
  </si>
  <si>
    <t>n.º 2,0</t>
  </si>
  <si>
    <t>n.º 3,0</t>
  </si>
  <si>
    <t>n.º 4,0</t>
  </si>
  <si>
    <t>Fio guia para tubo orotraqueal*</t>
  </si>
  <si>
    <t>Fio para sutura de seda trançada</t>
  </si>
  <si>
    <t>2,0 c/ agulha</t>
  </si>
  <si>
    <t>3,0 c/ agulha</t>
  </si>
  <si>
    <t>4,0 c/ agulha</t>
  </si>
  <si>
    <t>Fita crepe hospitalar</t>
  </si>
  <si>
    <t>Fita de glicoteste</t>
  </si>
  <si>
    <t>Caixa com 50 fitas</t>
  </si>
  <si>
    <t>Fita Teste Autoclave</t>
  </si>
  <si>
    <t>rolo</t>
  </si>
  <si>
    <t>Fixador de tubo orotraqueal*</t>
  </si>
  <si>
    <t>Fralda descartável adulto</t>
  </si>
  <si>
    <t>Tamanho M</t>
  </si>
  <si>
    <t>Pacote c/ 8</t>
  </si>
  <si>
    <t>Tamanho G</t>
  </si>
  <si>
    <t xml:space="preserve">Fralda descartável infantil </t>
  </si>
  <si>
    <t>Tamanho P</t>
  </si>
  <si>
    <t>Tamanho EG</t>
  </si>
  <si>
    <t>Frasco para alimentação enteral*</t>
  </si>
  <si>
    <t>Gel Condutor*</t>
  </si>
  <si>
    <t>250 g</t>
  </si>
  <si>
    <t>Glutaraldeido 2%*</t>
  </si>
  <si>
    <t>-------</t>
  </si>
  <si>
    <t>Frasco de 1 litro</t>
  </si>
  <si>
    <t>Hipoclorito de sódio</t>
  </si>
  <si>
    <t>Frasco c/ 1.000 ml</t>
  </si>
  <si>
    <t>Indicador biológico</t>
  </si>
  <si>
    <t>Para esterilização a vapor.</t>
  </si>
  <si>
    <t>Lâmina de bisturi</t>
  </si>
  <si>
    <t>nº. 11</t>
  </si>
  <si>
    <t>Caixa com 100</t>
  </si>
  <si>
    <t>nº. 24</t>
  </si>
  <si>
    <t>nº. 15</t>
  </si>
  <si>
    <t>Lanceta descartável</t>
  </si>
  <si>
    <t>Lenço umedecido para bebês</t>
  </si>
  <si>
    <t>Balde c/ 450 um</t>
  </si>
  <si>
    <t>Loção cremosa hidratante infantil</t>
  </si>
  <si>
    <t>Luva estéril</t>
  </si>
  <si>
    <t>n.º 7,0</t>
  </si>
  <si>
    <t>n.º 7,5</t>
  </si>
  <si>
    <t>n.º 8,0</t>
  </si>
  <si>
    <t>n.º 6,5</t>
  </si>
  <si>
    <t>Luvas de procedimento</t>
  </si>
  <si>
    <t xml:space="preserve">Caixa c/ 100 un </t>
  </si>
  <si>
    <t>Caixa c/ 100 un</t>
  </si>
  <si>
    <t>Mamadeira*</t>
  </si>
  <si>
    <t>240 ml</t>
  </si>
  <si>
    <t>Máscara Descartável</t>
  </si>
  <si>
    <t>Máscara N95</t>
  </si>
  <si>
    <t>Caixa c/ 20 un</t>
  </si>
  <si>
    <t>Micropore</t>
  </si>
  <si>
    <t>Papel Grau Cirúrgico*</t>
  </si>
  <si>
    <t>Largura 15 cm, comprimento 100m</t>
  </si>
  <si>
    <t>Largura 30 cm, comprimento 100m</t>
  </si>
  <si>
    <t>Papel para Eletrocardiografo*</t>
  </si>
  <si>
    <t>Bobina</t>
  </si>
  <si>
    <t>Potes coletor de escarro</t>
  </si>
  <si>
    <t>Transparente</t>
  </si>
  <si>
    <t>Preservativo masculino</t>
  </si>
  <si>
    <t xml:space="preserve">PVPI alcoolica </t>
  </si>
  <si>
    <t>PVPI degermante</t>
  </si>
  <si>
    <t>Saco de lixo para residuos infectantes</t>
  </si>
  <si>
    <t>branco leitoso</t>
  </si>
  <si>
    <t>Pacote 100 und.</t>
  </si>
  <si>
    <t>Scalp</t>
  </si>
  <si>
    <t>nº. 19</t>
  </si>
  <si>
    <t>nº. 21</t>
  </si>
  <si>
    <t>nº. 23</t>
  </si>
  <si>
    <t>nº. 25</t>
  </si>
  <si>
    <t>Seringa</t>
  </si>
  <si>
    <t>1 ml</t>
  </si>
  <si>
    <t>3ml</t>
  </si>
  <si>
    <t>5ml</t>
  </si>
  <si>
    <t>10ml</t>
  </si>
  <si>
    <t>20 ml</t>
  </si>
  <si>
    <t>Sonda Nasogástrica*</t>
  </si>
  <si>
    <t>nº 16</t>
  </si>
  <si>
    <t>nº 18</t>
  </si>
  <si>
    <t>nº 20</t>
  </si>
  <si>
    <t>nº 22</t>
  </si>
  <si>
    <t>Sonda para aspiração traqueal*</t>
  </si>
  <si>
    <t>Nº 06</t>
  </si>
  <si>
    <t>Nº 08</t>
  </si>
  <si>
    <t>Nº 10</t>
  </si>
  <si>
    <t>Nº 12</t>
  </si>
  <si>
    <t>Nº 14</t>
  </si>
  <si>
    <t>Nº 16</t>
  </si>
  <si>
    <t>Sonda Uretral*</t>
  </si>
  <si>
    <t>Sonda uretral*</t>
  </si>
  <si>
    <t>Sonda Vesical de Demora (Folley)*</t>
  </si>
  <si>
    <t>Nº 18</t>
  </si>
  <si>
    <t>Nº 20</t>
  </si>
  <si>
    <t>Nº 22</t>
  </si>
  <si>
    <t>Tampa para equipo</t>
  </si>
  <si>
    <t>Tubo Orotraqueal*</t>
  </si>
  <si>
    <t>Nº 8,0</t>
  </si>
  <si>
    <t>Nº 8,5</t>
  </si>
  <si>
    <t>Nº 6,0</t>
  </si>
  <si>
    <t>Nº 6,5</t>
  </si>
  <si>
    <t>Nº 7,0</t>
  </si>
  <si>
    <t>Nº 7,5</t>
  </si>
  <si>
    <t>Nº 9,0</t>
  </si>
  <si>
    <t>Nº 2,0</t>
  </si>
  <si>
    <t>Nº 2,5</t>
  </si>
  <si>
    <t>Nº 3,0</t>
  </si>
  <si>
    <t>Nº 3,5</t>
  </si>
  <si>
    <t>Materiais de saúde</t>
  </si>
  <si>
    <t>Adipômetro *</t>
  </si>
  <si>
    <t>Almotolia*</t>
  </si>
  <si>
    <t>Fotossensível</t>
  </si>
  <si>
    <t>Ambú (kit de reanimação artificial) ADULTO*</t>
  </si>
  <si>
    <t>-----</t>
  </si>
  <si>
    <t>Ambú (kit de reanimação artificial) INFANTIL*</t>
  </si>
  <si>
    <t>Andador Adulto*</t>
  </si>
  <si>
    <t>Aparelho de fisioterapia respiratória</t>
  </si>
  <si>
    <t>Balança Antropométrica*</t>
  </si>
  <si>
    <t>Banheira para bebês de plástico PVC *</t>
  </si>
  <si>
    <t>Bolsa de Borracha p/ Água Gelada*</t>
  </si>
  <si>
    <t>Tamanho 25cm aproximadamente.</t>
  </si>
  <si>
    <t>Bolsa de Borracha p/ Água Quente*</t>
  </si>
  <si>
    <t>Tamanho médio 18x25 cm.</t>
  </si>
  <si>
    <t>Cadeira de Rodas para banho*</t>
  </si>
  <si>
    <t>Cap. 28,2 L ; dimensões 564x385x201 mm, Cubagem: 0.131 m3; transparente, com  04 pegadores (travas) nas laterais para fechamento hermético da tampa.</t>
  </si>
  <si>
    <t>Cor transparente, com 04 (quatro) pegadores (travas) nas laterais para fechamento hermético da tampa.</t>
  </si>
  <si>
    <t>Caixas térmicas*</t>
  </si>
  <si>
    <t>Caixa isotérmica fabricada em polietileno de alto impacto com isolamento térmico em espuma de poliuretano de alta densidade, corpo termoplástico de parede dupla, tampa basculante com alça integrada que é acionada por um botão, abre para qualquer lado, trancando automaticamente ao fechar. Capacidade aproximadamente 12 litros; peso aproximadamente 2,54 Kg.</t>
  </si>
  <si>
    <t>Colchão Casca de Ovo</t>
  </si>
  <si>
    <t>Detector Fetal*</t>
  </si>
  <si>
    <t>Eletrocardiógrafo*</t>
  </si>
  <si>
    <t>Esfignomanômetro*</t>
  </si>
  <si>
    <t>Estetoscópio adulto*</t>
  </si>
  <si>
    <t>Estimulador cardíaco portátil*</t>
  </si>
  <si>
    <t>Faixa elástica fisioterapia*</t>
  </si>
  <si>
    <t>Fita métrica*</t>
  </si>
  <si>
    <t>Garrote *</t>
  </si>
  <si>
    <t>Glicosímetro*</t>
  </si>
  <si>
    <t>Kit de cortar unha de bebê*</t>
  </si>
  <si>
    <t>Kit para nebulização adulto*</t>
  </si>
  <si>
    <t>Máscara +chicote +micronebulida</t>
  </si>
  <si>
    <t xml:space="preserve">Kit para nebulização infantil* </t>
  </si>
  <si>
    <t>Laringoscópio Adulto *</t>
  </si>
  <si>
    <t>Com jogo de lâminas curvas e retas</t>
  </si>
  <si>
    <t>Laterna Clinica*</t>
  </si>
  <si>
    <t>Lixeira de plástico c/ pedal*</t>
  </si>
  <si>
    <t>Média</t>
  </si>
  <si>
    <t>Lixeira inox c/ pedal *</t>
  </si>
  <si>
    <t>Pequena</t>
  </si>
  <si>
    <t>Maleta de urgência*</t>
  </si>
  <si>
    <t>Caixa com divisórias internas (tipo ferramentas) grande com cadeado.</t>
  </si>
  <si>
    <t>Muleta (par)*</t>
  </si>
  <si>
    <t>Otoscópio*</t>
  </si>
  <si>
    <t>Seladora elétrica bivolt*</t>
  </si>
  <si>
    <t>Sela papel grau cirúrgico até 30 cm de largura</t>
  </si>
  <si>
    <t>Suporte para perfuro cortante*</t>
  </si>
  <si>
    <t>Termômetro*</t>
  </si>
  <si>
    <t>Digital</t>
  </si>
  <si>
    <t>Termômetro Digital com Cabo Extensor*</t>
  </si>
  <si>
    <t>Bandeja de Aproximadamente 30cm*</t>
  </si>
  <si>
    <t>Aço inox resistente a fratura e corrosão.</t>
  </si>
  <si>
    <t>Bandeja de Aproximadamente 50cm*</t>
  </si>
  <si>
    <t>Cabo de Bisturi N° 3*</t>
  </si>
  <si>
    <t>Cabo de Bisturi N° 4*</t>
  </si>
  <si>
    <t>Comadre*</t>
  </si>
  <si>
    <t>Cuba Rim 25x16x3 cm*</t>
  </si>
  <si>
    <t>Farabeuf 14 cm*</t>
  </si>
  <si>
    <t>Pinça Allis 15 cm*</t>
  </si>
  <si>
    <t>Pinça de Dissecção Anatômica com dente de rato*</t>
  </si>
  <si>
    <t>Pinça de Dissecção Anatômica*</t>
  </si>
  <si>
    <t>Pinça Kelly Curva 14 ou 16 cm*</t>
  </si>
  <si>
    <t>Pinças Foerster Curva 18 cm*</t>
  </si>
  <si>
    <t>Pinças Halstead Mosquito Curva 12 cm*</t>
  </si>
  <si>
    <t>Pinças Hastead Mosquito Reta 12 cm*</t>
  </si>
  <si>
    <t>Pinças Kelly Reta 14 ou 16 cm*</t>
  </si>
  <si>
    <t>Porta Agulhas Mayo Hegar Serrilha 16 cm*</t>
  </si>
  <si>
    <t>Tesoura Metzembaum Curva 14cm*</t>
  </si>
  <si>
    <t>Tesoura Metzembaum Reta 14cm*</t>
  </si>
  <si>
    <t>DISCRIMINAÇÃO</t>
  </si>
  <si>
    <t>Agente de união multiuso com flúor, fotopolimerizável, monocomponente para esmalte e dentina com monômero hídricos e solvente a base de acetona, apresentado em frasco único, líquido 4 ml cada frasco, com aplicador.*</t>
  </si>
  <si>
    <t>Abaixador de língua, pacote com 100 unidades</t>
  </si>
  <si>
    <t>Acido fosfórico 37% gel ,seringa 1,2 ml</t>
  </si>
  <si>
    <t>Acrílico autopolimerizável líquido vidro com 120ml*</t>
  </si>
  <si>
    <t>Acrílico autopolimerizável, pó, incolor, frasco com 80 gramas.*</t>
  </si>
  <si>
    <t>Acrílico autopolimerizável, pó, cor 62, frasco com 80 gramas.*</t>
  </si>
  <si>
    <t>Agulha Descartável Gengival 30 G Curta esterilizada por óxido de etileno tribiselada e siliconizada caixa com 100 unidades.</t>
  </si>
  <si>
    <t>Agulha Descartável Gengival 30 G Longa esterilizada por óxido de etileno tribiselada e siliconizada caixa com 100 unidades.</t>
  </si>
  <si>
    <t>Álcool 70 (litro)</t>
  </si>
  <si>
    <t>Algodão pacote com 500 gr. 100% de algodão apresentando alta absorção.</t>
  </si>
  <si>
    <t>Algodão rolinho com 100% de algodão prensado apresentando alta absorção e conforto. Pacote com 100 unidades</t>
  </si>
  <si>
    <t>Almotolia (clara) de 250ml*</t>
  </si>
  <si>
    <t>Almotolia (escura) de 250ml*</t>
  </si>
  <si>
    <t>Anestésico odontológico cloridrato de Lidocaína 2% Sem Vaso (caixa com 50 anestubes de 1,8ml )</t>
  </si>
  <si>
    <t>Anestésico odontológico cloridrato de Mepivacaína 2% com adrenalina 1:100.000 (caixa com 50 anestubes de 1,8ml )</t>
  </si>
  <si>
    <t>Anestésico odontológico tipo cloridrato de prilocaína 3% + felipressina 0,03 UI/ml (caixa com 50 anestubes de 1,8ml)</t>
  </si>
  <si>
    <t>Anestésico odontológico tópico em gel, tubo com 12g</t>
  </si>
  <si>
    <t>Babador descartável (Campo de mesa) pacote com 100 unidades</t>
  </si>
  <si>
    <t>Bicarbonato de sódio pó para uso odontológico, caixa com 15 envelopes, refil com 40g.</t>
  </si>
  <si>
    <t>Cápsula de amálgama, embalagem com 50 unidades*</t>
  </si>
  <si>
    <t>Cartela para radiografia odontológica com 01 furo (pacote com 100 unidades)*</t>
  </si>
  <si>
    <t>Cimento de Hidróxido de Cálcio radiopaco (cx. contendo um tubo de pasta  base com 13 g e  um tubo de pasta catalisadora com 11g.)</t>
  </si>
  <si>
    <t>Cimento de Ionômero de Vidro, alta resistência à compressão e à flexão, baixa abrasão, grande adesão química a estrutura dentária e bio compatibilidade com liberação contínua de flúor. Conjunto de pó e líquido.</t>
  </si>
  <si>
    <t>Cimento provisório tipo IRM líquido (frasco com 15 ml)</t>
  </si>
  <si>
    <t>Cimento provisório tipo IRM pó (frasco com 38 g)</t>
  </si>
  <si>
    <t>Compressa de gaze 7,5x7,5, 9 fios com 500 unidades.</t>
  </si>
  <si>
    <t>Creme dental para hipersensibilidade dentinária</t>
  </si>
  <si>
    <t>Cunha de madeira (100 unidades)*</t>
  </si>
  <si>
    <t>Dentes artificiais confeccionados em resina acrílica utilizados para prótese. Ant.Inf.  cor 66 – 26.*</t>
  </si>
  <si>
    <t>Dentes artificiais confeccionados em resina acrílica utilizados para prótese. Ant.Sup. cor 66 – 26.*</t>
  </si>
  <si>
    <t>Detergente Enzimático 1 L</t>
  </si>
  <si>
    <t>Escova de aço para  limpeza de broca, manufaturada com corpo todo em metal resistente à corrosão.*</t>
  </si>
  <si>
    <t>Escova Robson para contra ângulo</t>
  </si>
  <si>
    <t>Fibrinol envelopes com 100 unidades*</t>
  </si>
  <si>
    <t>Filme Radiográfico odontológico periapical adulto, tipo EKTASPEED (cx com 150 películas).*</t>
  </si>
  <si>
    <t>Fio dental (para uso no consultório odontológico) rolo 500mt*</t>
  </si>
  <si>
    <t>Fio para sutura agulhado nº 4.0 em seda caixa com 24 envelopes</t>
  </si>
  <si>
    <t>Fixador para radiografia odontológica, solução pronta para uso (frasco com 475ml)</t>
  </si>
  <si>
    <t xml:space="preserve">Fluoreto de sódio gel (200ml) – gel de fluoreto de sódio acidulado a 1,23% de íon flúor com alta viscosidade, efeito tixotropico, para aplicação tópica em 01 minuto. </t>
  </si>
  <si>
    <t>Formocresol.  Antiséptico 19% formaldeido e 35% de cresol. Frasco 10ml.*</t>
  </si>
  <si>
    <t>Glutaraldeido 2%,  1L</t>
  </si>
  <si>
    <t>Gorro tipo touca descartável com elástico caixa com 100 unidades</t>
  </si>
  <si>
    <t>Grau cirúrgico grande 30 cm rolo 100mt*</t>
  </si>
  <si>
    <t>Grau cirúrgico pequeno 15 cm rolo 100mt*</t>
  </si>
  <si>
    <t>Lima endodôntica tipo Hedstroen 1ª série (15 a 40) com 25mm, caixa com 06 unidades.*</t>
  </si>
  <si>
    <t>Lima endodôntica tipo Kerr 1ª série (15 a 40) com 25mm, caixa com 06 unidades.*</t>
  </si>
  <si>
    <t>Lima endodôntica tipo Kerr Série Especial nº 08, com 25mm,caixa com 06 unidades.*</t>
  </si>
  <si>
    <t>Lima endodôntica tipo Kerr Série Especial nº 10, com 25mm,caixa com 06 unidades.*</t>
  </si>
  <si>
    <t>Luvas para procedimento G com 100 unidades</t>
  </si>
  <si>
    <t>Luvas para procedimento M com 100 unidades</t>
  </si>
  <si>
    <t>Luvas para procedimento P com 100 unidades</t>
  </si>
  <si>
    <t>Máscara Descartável para procedimento com elástico e com dupla ou tripla proteção - cx. 100 unidades.</t>
  </si>
  <si>
    <t>Matriz de aço 5mm, rolo com 1,5m.*</t>
  </si>
  <si>
    <t>Matriz de aço 7mm, rolo com 1,5m.*</t>
  </si>
  <si>
    <t>Microbush (micro-aplicadores descartáveis) 100 unidades*</t>
  </si>
  <si>
    <t>Óculos de proteção em lentes em policarbonato, transparente com proteção lateral, não arranhar, não embaçar.*</t>
  </si>
  <si>
    <t>Óleo lubrificante para canetas de alta e baixa rotação*</t>
  </si>
  <si>
    <t>Papel carbono oclusal 24 folhas*</t>
  </si>
  <si>
    <t>Paramonoclorofenol canforado*</t>
  </si>
  <si>
    <t>Pasta alveolar analgésica 10 g*</t>
  </si>
  <si>
    <t>Pasta profilática, com flúor, 90g, sabor tuti-fruti e menta.*</t>
  </si>
  <si>
    <t>Pastilha evidenciadora de placa bacteriana (caixa com 120 unidades)*</t>
  </si>
  <si>
    <t>Pedra de arkansas de granulação média ou fina para  amolar  instrumentos odontológicos*</t>
  </si>
  <si>
    <t>Posicionador de película radiográfica  *</t>
  </si>
  <si>
    <t>Pote Dappen silicone*</t>
  </si>
  <si>
    <t>Pote Dappen vidro*</t>
  </si>
  <si>
    <t>Resina fotopolimerizável cor A2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A2</t>
  </si>
  <si>
    <t xml:space="preserve">Resina fotopolimerizável cor A3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A3 </t>
  </si>
  <si>
    <t>Resina fotopolimerizável cor A3,5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A3,5</t>
  </si>
  <si>
    <t>Resina fotopolimerizável cor B1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B1</t>
  </si>
  <si>
    <t>Resina fotopolimerizável cor B2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B2</t>
  </si>
  <si>
    <t>Resina fotopolimerizável cor C2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C2</t>
  </si>
  <si>
    <t>Resina Micro-híbrida fotopolimerizável cor OA2 Material restaurador micro-híbrido de performance total para dentes anteriores e posteriores com consistência esculpível e extremamente baixa pegajosidade com carga de vidro de bário e sílica e matriz resinosa de Bis-Gma modificada e fluorescente, apresentado em seringa única de 04 gramas cada. Corantes minerais na cor OA2</t>
  </si>
  <si>
    <t>Revelador para radiografia odontológica – frasco com 475ml</t>
  </si>
  <si>
    <t>Sabonete líquido galão 1 L</t>
  </si>
  <si>
    <t>Selante de Fissuras - Seringa*</t>
  </si>
  <si>
    <t>Solução de Clorexidina 0,12 %, com flúor a 0,05 % embalagem 250 ml .</t>
  </si>
  <si>
    <t>Solução hemostática tópica*</t>
  </si>
  <si>
    <t xml:space="preserve">Sugador cirúrgico odontológico uso único 20 unidade </t>
  </si>
  <si>
    <t>Sugador de saliva descartável (pacote contendo 40 unidades).</t>
  </si>
  <si>
    <t>Tira abrasiva eletrolítica de aço inoxidável 6mm, pact com 12unidades. *</t>
  </si>
  <si>
    <t>Tira de poliéster para restauração de resina, embalagem com 50 unid*</t>
  </si>
  <si>
    <t>Verniz cavitário*</t>
  </si>
  <si>
    <t>Verniz fluoretado. Caixa com 10 ml de verniz com fluoreto e 10g de pedra pomes e 01 ml contendo 50mg NaF igual a 22,6 mgF. Solução aquosa de resinas naturais com flúor de impregnação profunda.*</t>
  </si>
  <si>
    <t>Afastador de minessota*</t>
  </si>
  <si>
    <t>Alveolótomo curvo, manufaturado em aço inoxidável resistente a fatura e corrosão*</t>
  </si>
  <si>
    <t>Aparelho Negatoscópio para apoio em mesa ou fixação em parede, parte frontal em crílico translúcido branco leitoso, iluminação através de lâmpadas  acionadas por reator  convencionais ou eletrônicos (110v e/ou 220v)*</t>
  </si>
  <si>
    <t>Aplicador de Hidróxido de cálcio duplo.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</si>
  <si>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Bandeja manufaturada em aço inoxidável, resistente a fratura e corrosão, tamanho 22x12x1,5cm*</t>
  </si>
  <si>
    <t>Broca Alta rotação com ponta diamantada nº. 1011. Deve apresentar alta percentagem de diamante, sistema de balanceamento que proporcione maior vida útil às peças de alta rotação, tamanho e dimensões e controle de qualidade segundo normas ISO.</t>
  </si>
  <si>
    <t>Broca Alta rotação com ponta diamantada nº. 1012 (Haste longa) Deve apresentar alta percentagem de diamante, sistema de balanceamento que proporcione maior vida útil às peças de alta rotação, tamanho e dimensões e controle de qualidade segundo normas ISO.</t>
  </si>
  <si>
    <t>Broca Alta rotação com ponta diamantada nº. 1012 Deve apresentar alta percentagem de diamante, sistema de balanceamento que proporcione maior vida útil às peças de alta rotação, tamanho e dimensões e controle de qualidade segundo normas ISO.</t>
  </si>
  <si>
    <t>Broca Alta rotação com ponta diamantada nº. 1013. Deve apresentar alta percentagem de diamante, sistema de balanceamento que proporcione maior vida útil às peças de alta rotação, tamanho e dimensões e controle de qualidade segundo normas ISO.</t>
  </si>
  <si>
    <t>Broca Alta rotação com ponta diamantada nº. 1014 (Haste longa) Deve apresentar alta percentagem de diamante, sistema de balanceamento que proporcione maior vida útil às peças de alta rotação, tamanho e dimensões e controle de qualidade segundo normas ISO.</t>
  </si>
  <si>
    <t>Broca Alta rotação com ponta diamantada nº. 1014 Deve apresentar alta porcentagem de diamante, sistema de balanceamento que proporcione maior vida útil às peças de alta rotação, tamanho e dimensões e controle de qualidade segundo normas ISO.</t>
  </si>
  <si>
    <t>Broca Alta rotação com ponta diamantada nº. 1016 Deve apresentar alta percentagem de diamante, sistema de balanceamento que proporcione maior vida útil às peças de alta rotação, tamanho e dimensões e controle de qualidade segundo normas ISO.</t>
  </si>
  <si>
    <t>Broca Alta rotação, com ponta diamantada Nº 1045. Deve apresentar alta percentagem de diamante, sistema de balanceamento que proporcione maior vida útil às peças de alta rotação, tamanho e dimensões e controle de qualidade segundo normas ISO.</t>
  </si>
  <si>
    <t>Broca Alta rotação, com ponta diamantada Nº 1090. Deve apresentar alta percentagem de diamante, sistema de balanceamento que proporcione maior vida útil às peças de alta rotação, tamanho e dimensões e controle de qualidade segundo normas ISO.</t>
  </si>
  <si>
    <t>Broca Alta rotação, haste longa, com ponta diamantada Nº 1016 HL Deve apresentar alta percentagem de diamante, sistema de balanceamento que proporcione maior vida útil às peças de alta rotação, tamanho e dimensões e controle de qualidade segundo normas ISO.</t>
  </si>
  <si>
    <t>Broca Alta rotação, haste longa, com ponta diamantada Nº 1342. Deve apresentar alta percentagem de diamante, sistema de balanceamento que proporcione maior vida útil às peças de alta rotação, tamanho e dimensões e controle de qualidade segundo normas ISO.</t>
  </si>
  <si>
    <t>Broca Alta rotação,com ponta diamantada Nº 1092. Deve apresentar alta percentagem de diamante, sistema de balanceamento que proporcione maior vida útil às peças de alta rotação, tamanho e dimensões e controle de qualidade segundo normas ISO.</t>
  </si>
  <si>
    <t>Broca Carbite nº 1558 para alta rotação.</t>
  </si>
  <si>
    <t>Broca esférica em aço de Baixa Rotação para contra ângulo  Nº 04, cx 10 unidades*</t>
  </si>
  <si>
    <t>Broca esférica em aço de Baixa Rotação para contra ângulo nº 06 cx. 10 unidades*</t>
  </si>
  <si>
    <t>Broca GATES nº 03 comprimento total 32mm, comprimento da haste 19 mm, manufaturada em aço inoxidável, resistente a ação de agentes químicos e aos métodos convencionais de esterilização, caixa com 06 unidades.*</t>
  </si>
  <si>
    <t>Broca GATES nº 04 comprimento total 32mm, comprimento da haste 19 mm, manufaturada em aço inoxidável, resistente a ação de agentes químicos e aos métodos convencionais de esterilização, caixa com 06 unidades.*</t>
  </si>
  <si>
    <t>Broca shofu chama acabamento para resina*</t>
  </si>
  <si>
    <t>Broca zecrya (cirúrgica) 28 mm*</t>
  </si>
  <si>
    <t>Brunidor 29  em aço inox com cabo maciço em perfil octagonal serrilhado conferindo precisão na utilização, permitindo ajuste preciso da posição da ponta ativa por giro do cabo face/face 45º/45º. *</t>
  </si>
  <si>
    <t>Cabo de bisturi tipo Bard-Parker nº 03*</t>
  </si>
  <si>
    <t>Cabo para Espelho bucal,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</si>
  <si>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Calcador de inserção n° 01,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</si>
  <si>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Calcador de inserção n° 03  aço inox com cabo maciço em perfil octagonal serrilhado conferindo precisão na utilização, permitindo ajuste preciso da posição da ponta ativa por giro do cabo face/face 45º/45º.*</t>
  </si>
  <si>
    <t>Câmara escura para revelação de radiografias periapicais. Caixa moldada e poliestireno de lato impacto, contendo 3 cubas com tampa para evitar a evaporação dos líquidos e interior opaco.*</t>
  </si>
  <si>
    <t>Condensador para amálgama nº 06 em aço inox com cabo maciço em perfil octagonal serrilhado conferindo precisão na utilização, permitindo ajuste preciso da posição da ponta ativa por giro do cabo face/face 45º/45º. *</t>
  </si>
  <si>
    <t>Cuba metálica pequena*</t>
  </si>
  <si>
    <t>Cureta de Lucas n ° 85*</t>
  </si>
  <si>
    <t>Cureta Periodontal tipo Gracey nº 11-12*</t>
  </si>
  <si>
    <t>Cureta Periodontal tipo Gracey nº 13-14*</t>
  </si>
  <si>
    <t>Cureta Periodontal tipo Gracey nº 5-6*</t>
  </si>
  <si>
    <t>Cureta Periodontal tipo Gracey nº 7-8*</t>
  </si>
  <si>
    <t>Cureta Periodontal tipo Mac call nº 13-14*</t>
  </si>
  <si>
    <t>Destaca periósteo n °01, aço inoxidável, resistente a fatura e corrosão.*</t>
  </si>
  <si>
    <t>Elevador tipo Apical à direita n°302, aço inox, resistente a fratura e corrosão.*</t>
  </si>
  <si>
    <t>Elevador tipo Apical à esquerda n°302, aço inox, resistente a fratura e corrosão.*</t>
  </si>
  <si>
    <t>Elevador tipo Apical reto n°301, aço inox, resistente a fratura e corrosão.*</t>
  </si>
  <si>
    <t>Elevador tipo bandeirinha à direita, aço inox, resistente a fratura e corrosão.*</t>
  </si>
  <si>
    <t>Elevador tipo bandeirinha à esquerda, aço inox, resistente a fratura e corrosão.*</t>
  </si>
  <si>
    <t>Escavador de dentina nº 14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</si>
  <si>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Escavador de dentina nº 17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</si>
  <si>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Escavador de dentina nº 19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</si>
  <si>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Esculpidor Hollemback 3S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</si>
  <si>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Espátula para cimento nº 24F em aço inox com cabo maciço em perfil octagonal serrilhado conferindo precisão na utilização, permitindo ajuste preciso da posição da ponta ativa por giro do cabo face/face 45º/45º. *</t>
  </si>
  <si>
    <t>Espátula para cimento nº 70*</t>
  </si>
  <si>
    <t>Espátula para resina nº 1 Instrumento fabricado em aço inox com cabo maciço em perfil octagonal serrilhado conferindo precisão na utilização, permitindo ajuste preciso da posição da ponta ativa por giro do cabo face/face 45º/45º. Matéria prima em concordância da norma SAEJ. 405D – ABNT.NBR. 5601, confirmada por certificado de análise química*</t>
  </si>
  <si>
    <t>Espelho Bucal plano nº 5, sem distorção, com imagem translúcida, resistente à esterilização em estufa e autoclave, estrutura metálica em aço inoxidável AISI 304. Garantia: 12 meses.*</t>
  </si>
  <si>
    <t>Estojo inox com tampa de 20x10x5cm, em aço inox, resistente a fratura e corrosão.*</t>
  </si>
  <si>
    <t>Estojo inox com tampa de 28x14x6cm, em aço inox, resistente a fratura e corrosão.*</t>
  </si>
  <si>
    <t>Fórceps odontológico adulto nº150, aço inox,resistente a fratura e corrosão.*</t>
  </si>
  <si>
    <t>Fórceps odontológico adulto nº151, aço inox, resistente a fratura e corrosão.*</t>
  </si>
  <si>
    <t>Fórceps odontológico adulto nº16, manufaturado em aço inox,resistente a fratura e corrosão.*</t>
  </si>
  <si>
    <t>Fórceps odontológico adulto nº17, aço inox,resistente a fratura e corrosão.*</t>
  </si>
  <si>
    <t>Fórceps odontológico adulto nº18L, aço inox,resistente a fratura e corrosão.*</t>
  </si>
  <si>
    <t>Fórceps odontológico adulto nº18R, aço inox,resistente a fratura e corrosão.*</t>
  </si>
  <si>
    <t>Fórceps odontológico adulto nº68, em aço inox, resistente a fratura e corrosão.*</t>
  </si>
  <si>
    <t>Fórceps odontológico adulto nº69, em aço inox, resistente a fratura e corrosão.*</t>
  </si>
  <si>
    <t>Fórceps odontológico infantil nº 01, manufaturado em aço inox,resistente a fratura e corrosão.*</t>
  </si>
  <si>
    <t>Fórceps odontológico infantil nº 23,manufaturado em aço inox,resistente a fratura e corrosão.*</t>
  </si>
  <si>
    <t>Fórceps odontológico infantil nº 65, manufaturado em aço inox,resistente a fratura e corrosão.*</t>
  </si>
  <si>
    <t>Grampo unitário para revelação radiográfica.</t>
  </si>
  <si>
    <t>Kit para irrigação e aspiração de canais. Pontas de aspiração e irrigação aço inox, resistente a fratura e corrosão*</t>
  </si>
  <si>
    <t>Lamparina pequena de uso odontológico*</t>
  </si>
  <si>
    <t>Lima para osso*</t>
  </si>
  <si>
    <t>Pinça clínica odontológica em aço inox com cabo maciço em perfil octagonal serrilhado conferindo precisão na utilização, permitindo ajuste preciso da posição da ponta ativa por giro do cabo face/face 45º/45º. Matéria prima em concordância da norma saej.405d – abnt.nbr.5601, confirmada por certificado de análise química*</t>
  </si>
  <si>
    <t>Pinça Porta-agulha tipo Mathieu 14cm*</t>
  </si>
  <si>
    <t>Pinça Porta-agulha tipo Mayo Hegar 14cm*</t>
  </si>
  <si>
    <t>Placa de Vidro Fina*</t>
  </si>
  <si>
    <t>Porta algodão com mola em aço inox*</t>
  </si>
  <si>
    <t>Porta amálgama de plástico Autoclavavél*</t>
  </si>
  <si>
    <t>Porta Detrito com tampa, em aço inoxidável, resistente a fratura e corrosão*</t>
  </si>
  <si>
    <t>Régua milimetrada,manufaturada em aço inoxidável,resistente a fratura e corrosão *</t>
  </si>
  <si>
    <t>Seringa Carpule com refluxo  Instrumental fabricado em aço inox com cabo maciço em perfil Octagonal serrilhado conferindo precisão na utilização, permitindo ajuste da posição da ponta ativa por giro do cabo face /face 45°/ 45°.  Matéria prima em concordância da norma SAEJ. 405D- ABNT.NBR. 5601,  confirmada por certificado de Análise Química.*</t>
  </si>
  <si>
    <t>Sindesmótomo n°01 em aço inox com cabo maciço em perfil octagonal serrilhado conferindo precisão na utilização, permitindo ajuste preciso da posição da ponta ativa por giro do cabo face/face 45º/45º. Matéria prima em concordância da norma SAEJ.405D – ABNT.NBR.5601.*</t>
  </si>
  <si>
    <t>Sonda exploradora odontológica Instrumento fabricado em aço inox com cabo maciço em perfil octagonal serrilhado conferindo precisão na utilização, permitindo ajuste preciso da posição da ponta ativa por giro do cabo face/face 45º/45º. Matéria prima em concordância da norma SAEJ.405D – ABNT.NBR. 5601, confirmada por certificado de análise química.*</t>
  </si>
  <si>
    <t>Sonda periodontal milimetrada dupla*</t>
  </si>
  <si>
    <t>Tesoura Cirúrgica  curva, 12cm, aço inoxidável resistente a fratura e correção.*</t>
  </si>
  <si>
    <t>Bateria para Glicosímetro</t>
  </si>
  <si>
    <t>Bateria para Termometro Digital</t>
  </si>
  <si>
    <t>Manutenção Aparelho Tens</t>
  </si>
  <si>
    <t>Manutenção Aspirador portátil</t>
  </si>
  <si>
    <t xml:space="preserve">Manutenção Autoclave 12L </t>
  </si>
  <si>
    <t>Manutenção Autoclave 21L</t>
  </si>
  <si>
    <t>Manutenção Balança Antropométrica</t>
  </si>
  <si>
    <t>Manutenção Balança Pediátrica Digital</t>
  </si>
  <si>
    <t>Manutenção Balança Pediátrica Manual</t>
  </si>
  <si>
    <t>Manutenção Detector Fetal</t>
  </si>
  <si>
    <t>Manutenção Eletrocardiografo</t>
  </si>
  <si>
    <t>Manutenção Esfigmomanômetro</t>
  </si>
  <si>
    <t>Manutenção Estimulador Cardíado portátil</t>
  </si>
  <si>
    <t>Manutenção Frigobar</t>
  </si>
  <si>
    <t>Manutenção Câmara Refrigerada</t>
  </si>
  <si>
    <t>Manutenção Frezzer</t>
  </si>
  <si>
    <t>Manutenção Foco Clínico</t>
  </si>
  <si>
    <t>Manutenção Fotopolimerizador</t>
  </si>
  <si>
    <t>Manutenção Infravermelho</t>
  </si>
  <si>
    <t xml:space="preserve">Manutenção microcomputadores </t>
  </si>
  <si>
    <t>Manutenção Mini Incubadora</t>
  </si>
  <si>
    <t>Manutenção Nebulizador</t>
  </si>
  <si>
    <t>Manutenção Negatoscópio</t>
  </si>
  <si>
    <t>Manutenção Seladora de Mesa Elétrica bivolt</t>
  </si>
  <si>
    <t>Manutenção Ultrassom para Fisioterapia</t>
  </si>
  <si>
    <t xml:space="preserve">Pilha AAA Lanterna </t>
  </si>
  <si>
    <t>Pilha AAA Laringoscópio Adulto</t>
  </si>
  <si>
    <t>Pilha AAA Otoscópio</t>
  </si>
  <si>
    <t>Pilha AAA Termometro Digital com cabo extensor</t>
  </si>
  <si>
    <t>Armário com porta</t>
  </si>
  <si>
    <t>Arquivo</t>
  </si>
  <si>
    <t>Bandeja de Aço Inoxidável</t>
  </si>
  <si>
    <t xml:space="preserve">Cadeira Giratória </t>
  </si>
  <si>
    <t>Cadeira Fixa Lavável</t>
  </si>
  <si>
    <t>Câmara Refrigerada Vertical 504L com sistema de manutenção de temperatura em caso de falta de energia elétrica garantindo por sistema de emergência manter todas funções eletrônicas, inclusive o compressor de frio, com autonomia mínima de 24 horas; sistema de monitoramento autônomo por pen drive; discadora de telefone para no mínimo 03 números pré-programados em caso de variação da temperatura ou falta de energia elétrica.</t>
  </si>
  <si>
    <t>Condicionador de Ar</t>
  </si>
  <si>
    <t>Dispenser para Papel Toalha</t>
  </si>
  <si>
    <t>Dispenser para sabão líquido</t>
  </si>
  <si>
    <t>Freezer Vertical</t>
  </si>
  <si>
    <t>Gerador de Energia</t>
  </si>
  <si>
    <t>Lixeira com pedal</t>
  </si>
  <si>
    <t>Maca Fixa</t>
  </si>
  <si>
    <t>Mesa com Gavetas</t>
  </si>
  <si>
    <t>Tesoura reta com ponta romba</t>
  </si>
  <si>
    <t>Pinça "dente de rato"</t>
  </si>
  <si>
    <t>Caixa de Plástico (Organizadora)</t>
  </si>
  <si>
    <t>Porta Algodão</t>
  </si>
  <si>
    <t>Suporte para perfurocortante</t>
  </si>
  <si>
    <t>Termômetro Digital com cabo extensor</t>
  </si>
  <si>
    <t>APARELHO DE AR CONDICIONADO</t>
  </si>
  <si>
    <t>MESA</t>
  </si>
  <si>
    <t>Amalgamador</t>
  </si>
  <si>
    <t>Aparelho de Ultrasson com Jato de Bicarbonato</t>
  </si>
  <si>
    <t>Bomba a Vácuo</t>
  </si>
  <si>
    <t>Fotopolimerizador</t>
  </si>
  <si>
    <t>Kit Peças de Mãos (Alta Rotação, Micromotor, Contra Ângulo e Peça Reta)</t>
  </si>
  <si>
    <t>Kit Suctor</t>
  </si>
  <si>
    <t>Lavadora Ultrassônica</t>
  </si>
  <si>
    <t>Cadeira odontológica completa (Cadeira, Equipo, Refletor, Unidade Hídrica, Sistema Flush e Mocho)</t>
  </si>
  <si>
    <t>Mini Incubadora</t>
  </si>
  <si>
    <t>Raio X Odontológico</t>
  </si>
  <si>
    <t>Bandagem Triangular</t>
  </si>
  <si>
    <t>Clamp Umbilical</t>
  </si>
  <si>
    <t>Cinto aranha</t>
  </si>
  <si>
    <t>Colar Cervical</t>
  </si>
  <si>
    <t>Maca articulada e com rodas</t>
  </si>
  <si>
    <t>Prancha curta para imobilização</t>
  </si>
  <si>
    <t>Prancha longa para imobilização</t>
  </si>
  <si>
    <t>Protetor para Queimaduras e Eviscerações</t>
  </si>
  <si>
    <t>Suporte para soro</t>
  </si>
  <si>
    <t>Tala de imobilização provisória em alumínio 12mm x 18 - P</t>
  </si>
  <si>
    <t>Tala de imobilização provisória em alumínio 16mm x 18 – M</t>
  </si>
  <si>
    <t>Tala de imobilização provisória em alumínio 19mm x 18 – G</t>
  </si>
  <si>
    <t>SERVIÇOS</t>
  </si>
  <si>
    <t>DESCRIÇÃO</t>
  </si>
  <si>
    <t>UNIDADES</t>
  </si>
  <si>
    <t>MANUTENÇÃO PREDIAL</t>
  </si>
  <si>
    <t>b) Para os ambulatórios das unidades prisionais que estão no escopo do projeto: A OS ofertará, podendo subcontratar, o serviço de manutenção predial corretiva básica nos ambulatórios, com vistas a manter as instalações prediais dos locais em questão em perfeitas condições de funcionamento e conservação. Este serviço inclui o fornecimento de mão de obra, materiais de consumo, insumos necessários a sua execução. São entendidos como serviços de manutenção predial corretiva básica: substituição de lâmpadas, substituição de reatores, luminárias, tomadas, substituição de acessórios sanitários, pintura em geral, substituição de cerâmicas, acabamentos diversos, manutenção da rede de esgoto (desentupimento) e manutenção da rede hidráulica (desobstrução). Os serviços de manutenção predial distintos ao descrito acima ficarão a cargo da SEJUS.</t>
  </si>
  <si>
    <t xml:space="preserve"> Macrogotas – Látex / Roldana </t>
  </si>
  <si>
    <t>Broca Alta rotação com ponta diamantada FG acabamento F ( fino) nº. 3118F. Deve apresentar alta percentagem de diamante, sistema de balanceamento que proporcione maior vida útil as peças de alta rotação, tamanho e dimensões e controle de qualidade segundo normas ISO.</t>
  </si>
  <si>
    <t>Broca Alta rotação com ponta diamantada nº. 1190  Deve apresentar alta percentagem de diamante, sistema de balanceamento que proporcione maior vida útil as peças de alta rotação, tamanho e dimensões e controle de qualidade segundo normas ISO.</t>
  </si>
  <si>
    <t>Broca Alta rotação com ponta diamantada nº. 3118. Deve apresentar alta percentagem de diamante, sistema de balanceamento que proporcione maior vida útil às peças de alta rotação, tamanho e dimensões e controle de qualidade segundo normas ISO.</t>
  </si>
  <si>
    <t>Broca Alta rotação com ponta diamantada nº. 4138. Deve apresentar alta percentagem de diamante, sistema de balanceamento que proporcione maior vida útil as peças de alta rotação, tamanho e dimensões e controle de qualidade segundo normas ISO.</t>
  </si>
  <si>
    <t>Broca Alta rotação com ponta diamantada para acabamento  fino de resina, nº. 2135F.  Deve apresentar alta percentagem de diamante, sistema de balanceamento que proporcione maior vida útil as peças de alta rotação, tamanho e dimensões e controle de qualidade segundo normas ISO.</t>
  </si>
  <si>
    <t>Broca Alta rotação com ponta diamantada para acabamento nº. 1033  Deve apresentar alta percentagem de diamante, sistema de balanceamento que proporcione maior vida útil as peças de alta rotação, tamanho e dimensões e controle de qualidade segundo normas ISO.</t>
  </si>
  <si>
    <t>Broca Alta rotação com ponta diamantada para acabamento nº. 3203  Deve apresentar alta percentagem de diamante, sistema de balanceamento que proporcione maior vida útil as peças de alta rotação, tamanho e dimensões e controle de qualidade segundo normas ISO.</t>
  </si>
  <si>
    <t>Broca Alta rotação com ponta diamantada para acabamento nº. 3203 F Deve apresentar alta percentagem de diamante, sistema de balanceamento que proporcione maior vida útil as peças de alta rotação, tamanho e dimensões e controle de qualidade segundo normas ISO.</t>
  </si>
  <si>
    <t>Broca Alta rotação com ponta diamantada para acabamento nº. 4072  Deve apresentar alta percentagem de diamante, sistema de balanceamento que proporcione maior vida útil as peças de alta rotação, tamanho e dimensões e controle de qualidade segundo normas ISO.</t>
  </si>
  <si>
    <t>Broca multilaminada, nº. 7664 (12L).  Deve apresentar sistema de balanceamento que proporcione maior vida útil as peças de alta rotação, tamanho e dimensões e controle de qualidade segundo normas ISO.*</t>
  </si>
  <si>
    <t>Broca multilaminada, nº. 9904 (30L). Deve apresentar sistema de balanceamento que proporcione maior vida útil as peças de alta rotação, tamanho e dimensões e controle de qualidade segundo normas ISO.*</t>
  </si>
  <si>
    <t>ABA</t>
  </si>
  <si>
    <t>NOME</t>
  </si>
  <si>
    <t>Medicamentos</t>
  </si>
  <si>
    <t>Saúde Instrumental</t>
  </si>
  <si>
    <t>Odonto e Material de Consumo</t>
  </si>
  <si>
    <t>Odonto Instrumental</t>
  </si>
  <si>
    <t>Montagem Sala Vacina</t>
  </si>
  <si>
    <t>Montagem Consultório Odonto</t>
  </si>
  <si>
    <t>Montagem Central Ambulâncias</t>
  </si>
  <si>
    <t>Serviços de Apoio</t>
  </si>
  <si>
    <t>PROFISSIONAL</t>
  </si>
  <si>
    <t>PISO SALARIAL</t>
  </si>
  <si>
    <t xml:space="preserve">INSALUBRIDADE </t>
  </si>
  <si>
    <t>ADIC. NOTURNO + DSR + FERIADO REMUNERADO</t>
  </si>
  <si>
    <t>REMUNERAÇÃO</t>
  </si>
  <si>
    <t>ENCARGOS - SOCIAIS E TRABALHISTAS</t>
  </si>
  <si>
    <t>CUSTOS COM INSUMOS</t>
  </si>
  <si>
    <t>OUTROS INSUMOS</t>
  </si>
  <si>
    <t>GASTO INDVIDUAL TOTAL</t>
  </si>
  <si>
    <t>Assistente Social 20 horas</t>
  </si>
  <si>
    <t>Assistente Social 30 horas</t>
  </si>
  <si>
    <t>Auxiliar Administrativo 40 horas</t>
  </si>
  <si>
    <t>Auxiliar de Saúde Bucal 20 horas</t>
  </si>
  <si>
    <t>Auxiliar de Saúde Bucal 40 horas</t>
  </si>
  <si>
    <t>Cirurgião Dentista 20 horas</t>
  </si>
  <si>
    <t>Cirurgião Dentista 40 horas</t>
  </si>
  <si>
    <t>Enfermeiro Diarista 20 horas</t>
  </si>
  <si>
    <t>Enfermeiro Diarista 30 horas</t>
  </si>
  <si>
    <t>Enfermeiro Diarista 40 horas</t>
  </si>
  <si>
    <t>Enfermeiro 12x60 Plantão Dia</t>
  </si>
  <si>
    <t>Enfermeiro 12x60 Plantão Noite</t>
  </si>
  <si>
    <t>Farmacêutico 30 horas</t>
  </si>
  <si>
    <t>Farmacêutico 40 horas</t>
  </si>
  <si>
    <t>Fisioterapeuta 30 horas</t>
  </si>
  <si>
    <t>Médico Generalista 20 horas</t>
  </si>
  <si>
    <t>Médico Generalista 30 horas</t>
  </si>
  <si>
    <t>Médico Psiquiatra 30 horas</t>
  </si>
  <si>
    <t>Motorista de Ambulância Plantão Dia</t>
  </si>
  <si>
    <t>Motorista de Ambulância Plantão Noite</t>
  </si>
  <si>
    <t>Psicólogo 20 horas</t>
  </si>
  <si>
    <t>Psicólogo 30 horas</t>
  </si>
  <si>
    <t>Técnico de Enfermagem Diarista 40 horas</t>
  </si>
  <si>
    <t>Técnico de Enfermagem 12x26 Plantão Dia</t>
  </si>
  <si>
    <t>Técnico de Enfermagem 12x36 Plantão Noite</t>
  </si>
  <si>
    <t>Terapeuta Ocupacional 30h</t>
  </si>
  <si>
    <t>GASTO COM MOB</t>
  </si>
  <si>
    <t>GRUPO</t>
  </si>
  <si>
    <t>TIPO DE DESPESA</t>
  </si>
  <si>
    <t>ID</t>
  </si>
  <si>
    <t>Albendazol</t>
  </si>
  <si>
    <t>400mg</t>
  </si>
  <si>
    <t>NUNES E GOMES</t>
  </si>
  <si>
    <t>CODAP</t>
  </si>
  <si>
    <t>SEJUS</t>
  </si>
  <si>
    <t>% DESCONTO</t>
  </si>
  <si>
    <t xml:space="preserve">Caixa de Plástico (Organizador Pequeno)* </t>
  </si>
  <si>
    <t xml:space="preserve">Caixa de Plástico (Organizador Grande)* </t>
  </si>
  <si>
    <t xml:space="preserve">Caixa de Plástico (Organizador Médio)* </t>
  </si>
  <si>
    <t>Ácido Graxos Essenciais + Vitamina A e E</t>
  </si>
  <si>
    <t>Material de Consumo Médico Hospitar</t>
  </si>
  <si>
    <t>Tira de poliéster para polimento e acabamento de resina, tira contendo 02 texturas média e fina, pct com 100 com 4mmx170mm.*</t>
  </si>
  <si>
    <t>QUANT</t>
  </si>
  <si>
    <t>0.084 G/ML SOL INFUS CX 45 BOLS PLAS TRANS SIST FECH X 250 ML</t>
  </si>
  <si>
    <t>25 MG COM CT BL AL PLAS INC X 30</t>
  </si>
  <si>
    <t>200 MG COM CT BL AL PLAS INC X 200 (EMB HOSP)</t>
  </si>
  <si>
    <t>300 MG COM CT BL AL PLAS AMB X 500 (EMB HOSP)</t>
  </si>
  <si>
    <t>3,125 MG COM CT BL AL/AL X 30</t>
  </si>
  <si>
    <t xml:space="preserve"> 6,25 COM CT BL AL AL X 60</t>
  </si>
  <si>
    <t>12,5 MG COM CT BL AL/AL X 300 (EMB HOSP)</t>
  </si>
  <si>
    <t>1 G PO INJ CT 50 FA VD INC</t>
  </si>
  <si>
    <t>20 MG/G CREM DERM CX 100 BG AL X 30 G (EMB HOSP)</t>
  </si>
  <si>
    <t>20MG/G SHAMP CX 50 FR PLAS OPC X 100 ML (EMB HOSP)</t>
  </si>
  <si>
    <t>200 MG COM CT BL AL PLAS INC X 30</t>
  </si>
  <si>
    <t>25 MG COM CT 30 BL AL PLAS INC X 15 (EMB HOSP)</t>
  </si>
  <si>
    <t>75 MG COM CT 30 BL AL PLAS INC X 15 (EMB HOSP)</t>
  </si>
  <si>
    <t>100 MG COM CT BL AL PLAS INC X 60</t>
  </si>
  <si>
    <t>500 MG COM REV CT BL AL PLAS INC X 14</t>
  </si>
  <si>
    <t>0,5 MG/G CREM DERM CX 100 BH AL X 30G (EMB HOSP)</t>
  </si>
  <si>
    <t>2 MG COM CT BL AL PLAS INC X 500 (EMB HOSP)</t>
  </si>
  <si>
    <t>191 MG/ML SOL INC IV CX 200 AMP PE X 10 ML</t>
  </si>
  <si>
    <t>25 MG COM REC CX 20 BL AL PLAS INC X 10 (EMB HOSP)</t>
  </si>
  <si>
    <t>100 MG COM REV CT BL AL PLAS INC X 100 (EMB HOSP)</t>
  </si>
  <si>
    <t>5 MG/ML SOL INJ CX 50 AMP VD AMB X 5 ML (EMB HOSP)</t>
  </si>
  <si>
    <t>1 MG/ML SUS OFT CT FR PLAS TRANS GOT X 5 ML</t>
  </si>
  <si>
    <t>10 MG COM CT BL AL PLAS INC X 200 (EMB HOSP)</t>
  </si>
  <si>
    <t>5 MG COM CT BL AL PLAS INC X 200 (EMB HOSP)</t>
  </si>
  <si>
    <t>0,25 MG COM CT BL AL PLAS INC X 480 (EMB HOSP)</t>
  </si>
  <si>
    <t>450 MG + 50 MG COM REV CT BL AL PLAS INC X 90</t>
  </si>
  <si>
    <t>500 MG COM DISP BL AL PLAS INC X 250 (EMB FRAC)</t>
  </si>
  <si>
    <t>1 MG/ML SUS OR CT FR VD AMB X 100 ML</t>
  </si>
  <si>
    <t>10 MG COM CT BL AL PLAS INC X 20</t>
  </si>
  <si>
    <t>0,15 MG + 0,03 MG DRG CT BL CALEND AL PLAS INC X 21</t>
  </si>
  <si>
    <t>100 MG COM CT BL AL PLAS TRANS X 500 (EMB HOSP)</t>
  </si>
  <si>
    <t>50 MG/ML SOL INJ CX 100 AMP VD INC X 5 ML (EMB HOSP)</t>
  </si>
  <si>
    <t>100 MG COM CT BL AL PLAS INC X 500 (EMB HOSP)</t>
  </si>
  <si>
    <t>100MG/ML SOL INK CX 50 AMP VD INC X 2 ML (EMB HOSP)</t>
  </si>
  <si>
    <t>5 ML/ML SOL OR CX 200 FR PLAS OPC GOT X 20ML (EMB HOSP)</t>
  </si>
  <si>
    <t>150 MG CAP DURA CT BL AL PLAS TRANS X 1</t>
  </si>
  <si>
    <t>20 MG CAP GEL DURA CT BL AL PAS INC X 28</t>
  </si>
  <si>
    <t xml:space="preserve"> </t>
  </si>
  <si>
    <t>40 MG COM CT BL AL PLAS AMB X 500 (EMB HOSP)</t>
  </si>
  <si>
    <t>25 MG COM REV CT BL AL PLAST INC X 20</t>
  </si>
  <si>
    <t>5 MG COM SUB LINGUAL CX 50 BL AL PLAS INC X 10</t>
  </si>
  <si>
    <t>500 MG COM REV CT BL AL PLAS INC X 10</t>
  </si>
  <si>
    <t>100 MG COM REV CX BL AL PLAS INC X 200 (EMB HOSP)</t>
  </si>
  <si>
    <t>25 MG COM REV CX L AL PLAS INC X 200 (EMB HOSP)</t>
  </si>
  <si>
    <t>10 MG COM CT BL AL PLAS INC X 12</t>
  </si>
  <si>
    <t>50 MG COM REV CT BL AL PLAS INC X 28</t>
  </si>
  <si>
    <t>200 MG/ML SOL INJ IV CX 40 BOLS PVC TRANS IST FECH X 250 ML</t>
  </si>
  <si>
    <t>500 MG COM CT BL AL PLAS INC X 30</t>
  </si>
  <si>
    <t>850 MG COM CT BL AL PLAS INC X 30</t>
  </si>
  <si>
    <t>250 MG COM REV CT BL AL PLAS INC X 500</t>
  </si>
  <si>
    <t>50 MG CIN REV LIB PROL CT BL AL PLAS INC X 30</t>
  </si>
  <si>
    <t>20 MG/G POM DERM CX 25 BG AL X 15 G (EMB HOSP)</t>
  </si>
  <si>
    <t>0,4 MG/ML SOL INK CX 10 AMP VD INC X 1 ML (EMB HOSP)</t>
  </si>
  <si>
    <t>5,0 MG/G + 250 UI/G POM CT BG AL X 15 G</t>
  </si>
  <si>
    <t>10 MG COM CT BL AL PLAS AMB X 200 (EMB FRAC)</t>
  </si>
  <si>
    <t>100 MG COM CT BL ALA PLAS INC X 12</t>
  </si>
  <si>
    <t>25000 UI/G CREM VAG CT BG AL X 60G + 14 APLIC</t>
  </si>
  <si>
    <t>100000 UI SUS OR CT FR VD AMB X 50 ML</t>
  </si>
  <si>
    <t>200 MG/ML SOL OR CX 50 FR GOT PLAS OPC X 15 ML (EMB HOSP)</t>
  </si>
  <si>
    <t>10 MG/ML LOC CT 50 FR PLAS OPC X 60 ML  (EMB HOSP)</t>
  </si>
  <si>
    <t>50 MG/ML LOC CREM CX 50 FR PLAS OPC 60 ML (EMB HOSP)</t>
  </si>
  <si>
    <t>50MG/ML SOL INJ CX 25 AMP VD AMB X 2 ML (EMB HOSP)</t>
  </si>
  <si>
    <t>0,1 G/G + 0,01 G/G POM RET CT BG AL X 30G + 10 APLIC</t>
  </si>
  <si>
    <t>20 MG COM CX BL AL PLAS INC X 200</t>
  </si>
  <si>
    <t>25 MG COM REV CT BL AL PLAS TRANS X 500 (EMB HOSP)</t>
  </si>
  <si>
    <t>25 MG/ML SOL INJ CX 36 AMP VD AMB X 2 ML</t>
  </si>
  <si>
    <t>40 MG COM CT BL AL PLAS AMB X 40</t>
  </si>
  <si>
    <t>10 MG/ML SOL INJ CX 25 AMP VD INC X 5 ML</t>
  </si>
  <si>
    <t>150 MG COM REV CX ENV AL X 100 (EMB HOSP)</t>
  </si>
  <si>
    <t>25MG/ML SOL INJ CX 100 AMP VD AMB X 2 ML (EMB HOSP)</t>
  </si>
  <si>
    <t>2 MG COM REV CT BL AL PLAS TRANS X 30</t>
  </si>
  <si>
    <t>2 MG COM CT BL AL/AL X 20</t>
  </si>
  <si>
    <t>0,4 MG/ML CPE CX 60 FR PET AMB X 100 ML + 60 COP (EMB HOSP)</t>
  </si>
  <si>
    <t>100 MCG AER CT LATA AL 200 DOSES C/ APLIC + ESPAÇ</t>
  </si>
  <si>
    <t>40 MG COM CT BL AL PLAS INC X 100 (EMB HOSP)</t>
  </si>
  <si>
    <t>75 MG/ML EMULSAO OR CX 24 FR PLAS OPC X 15 ML (EMB HOSP)</t>
  </si>
  <si>
    <t>20 MG COM REV CT BL AL PLAS INC X 30</t>
  </si>
  <si>
    <t>10 MG/G CREM DERM CT BG AL X 30G</t>
  </si>
  <si>
    <t xml:space="preserve"> 400 MG + 80 MG COM CT BL AL PLAS INC X 500 (EMB HOSP)</t>
  </si>
  <si>
    <t>40 MG COM REC CT BL AL PVDC INC X 50</t>
  </si>
  <si>
    <t>200 MG COM CT BL AL PLAS INC X 20</t>
  </si>
  <si>
    <t>300 MG COM REV CT BL AL PLAS INC X 500</t>
  </si>
  <si>
    <t>100 MG DRG CT BL AL PLAS INC X 20 (PORT. 344/98 - C1)</t>
  </si>
  <si>
    <t>50 MG CAP GEL DURA CT 10 BL AL PLAS OPC X 10</t>
  </si>
  <si>
    <t>1 MG/G PAS CT 01 BG AL X 10 G</t>
  </si>
  <si>
    <t>5 MG COM CT BL AL PVC X 150</t>
  </si>
  <si>
    <t xml:space="preserve">50 MG/G CREM DERM CT BG AL X 10 G </t>
  </si>
  <si>
    <t>200 MG COM CT BL AL PLAS INC X 25</t>
  </si>
  <si>
    <t xml:space="preserve">100 MG COM CT BL AL PLAS OPC X 30 </t>
  </si>
  <si>
    <t xml:space="preserve">5 MG COM CT ENV PAP PLAS X 500 (EMB HOSP) </t>
  </si>
  <si>
    <t xml:space="preserve">250 MG CAP CT FR VD AMB X 25    </t>
  </si>
  <si>
    <t xml:space="preserve">400 MG COM MAST CT BL AL PLAS INC X 80 (EMB HOSP) </t>
  </si>
  <si>
    <t xml:space="preserve">100 MG COM CT BL AL PLAS INC X 300 (EMB HOSP) </t>
  </si>
  <si>
    <t xml:space="preserve">3 MG/ML XPE CT FR VD AMB X 120 ML + CP MED </t>
  </si>
  <si>
    <t xml:space="preserve">100 MG COM CT BL AL PLAS INC X 500 (EMB HOSP) </t>
  </si>
  <si>
    <t xml:space="preserve">25 MG COM CT 25 BL AL PLAS INC X 20 (EMB HOSP) </t>
  </si>
  <si>
    <t xml:space="preserve">200 MG COM CX BL AL PLAS INC X 500 (EMB HOSP) </t>
  </si>
  <si>
    <t xml:space="preserve">24 MG/ML SOL INJ CT 50 FA VD INC X 10 ML </t>
  </si>
  <si>
    <t>500 MG CAP DURA CT BL AL PLAS INC X 500 (EMB HOSP)</t>
  </si>
  <si>
    <t xml:space="preserve">500 MG + 100 MG PO P/ SOL INJ IV CX 50 FA VD INC X 10 ML (EMB HOSP) </t>
  </si>
  <si>
    <t xml:space="preserve">500 MG + 125 MG COM REV CT STR AL/AL X 21 </t>
  </si>
  <si>
    <t xml:space="preserve">500 MG COM REV CT BL AL PLAS OPC X 5 </t>
  </si>
  <si>
    <t xml:space="preserve">100 MG/G SAB CT FILME DE POLIPROPILENO X 75 G </t>
  </si>
  <si>
    <t xml:space="preserve">250 MG/ML LOC EMU TOP CT FR VD AMB X 100 ML </t>
  </si>
  <si>
    <t xml:space="preserve">10 MG COM CT BL AL PLAS AMB X 30   </t>
  </si>
  <si>
    <t xml:space="preserve">5 MG COM CT BL AL PLAS AMB X 30   </t>
  </si>
  <si>
    <t xml:space="preserve">10 MG COM CT BL AL PLAS INC X 20 </t>
  </si>
  <si>
    <t xml:space="preserve">5 MG/ML SOL INJ CT 50 AMP VD AMB X 2 ML </t>
  </si>
  <si>
    <t>0,15mg + 0,03mg</t>
  </si>
  <si>
    <t>0,1 MG/ML SOL INJ CT 5 AMP VD INC X 5 ML</t>
  </si>
  <si>
    <t xml:space="preserve">5 MG COM CT  BL AL PLAS INC X 500 (EMB HOSP) </t>
  </si>
  <si>
    <t xml:space="preserve">250 MG/ML SOL INJ IV CX 200 AMP PLAS INC X 10 ML </t>
  </si>
  <si>
    <t xml:space="preserve">50% SOL INJ CX 200 AMP PLAS TRANS X 10 ML </t>
  </si>
  <si>
    <t>1 MG COM CX BL AL PLAS INC X 200 (EMB HOSP)</t>
  </si>
  <si>
    <t>5 MG/ML SOL INJ CX 50 AMP VD AMB X 1 ML (EMB HOSP)</t>
  </si>
  <si>
    <t>5000 UI/0,25 ML SOL INJ CX 25 AMP VD INC X 0,25 ML</t>
  </si>
  <si>
    <t>25 MG COM CT BL AL PLAS INC X 300 (EMB HOSP)</t>
  </si>
  <si>
    <t>300 MG COM CT BL AL PVC INC X 200 (EMB HOSP)</t>
  </si>
  <si>
    <t>50 MG/ML SUS OR CT FR PLAS OPC GOT X 30 ML</t>
  </si>
  <si>
    <t>5 MG/ML SOL OFT CT FR PLAS TRANS GOT X 10ML</t>
  </si>
  <si>
    <t xml:space="preserve"> 6 MG COM CT BL AL PLAS INC X 80</t>
  </si>
  <si>
    <t>0,25 MG/ML SOL P/ INAL CT FR VD AMB GOT X 20ML</t>
  </si>
  <si>
    <t>100 UI/ML SOL INJ CT 1 FA VD INC X 10 ML</t>
  </si>
  <si>
    <t>2 MG COM CT BL AL PLAS INC X 200 (EMB HOSP)</t>
  </si>
  <si>
    <t>5 MG/ML SOL INJ CT 5 AMP VD INC X 3ML</t>
  </si>
  <si>
    <t>15 MG COM REV CT 3 BL AL PLAS INC X 10</t>
  </si>
  <si>
    <t>500 MG COM DISP 250 BL AL PLAS LAR X 8 (EMB HOSP)</t>
  </si>
  <si>
    <t>1,0 MG/ML SOL INJ CX 50 AMP VD AMB X 2 ML (EMB HOSP)</t>
  </si>
  <si>
    <t>3 MG/ML SOL OFT CT FR PLAS TRANS GOT X 5 ML</t>
  </si>
  <si>
    <t>50 MG/ML SOL INJ CX 100 AMP VD INC X 2 ML (EMB HOSP)</t>
  </si>
  <si>
    <t>50 MG/ML SOL INJ IV CX 100 AMP VD AMB X 3 ML (EMB HOSP)</t>
  </si>
  <si>
    <t>50 MG COM CT BL AL PLAS INC X 504 (EMB HOSP)</t>
  </si>
  <si>
    <t>0,5 MG/ML SOL INJ CX 100 AMP VD AMB X 1 ML</t>
  </si>
  <si>
    <t>250 MCG/DOSE SOL AER SPRAY CT TB AL + DISP ORAL X 200 DOSES</t>
  </si>
  <si>
    <t>1.200.000 UI PO SUS INJ CX 50 FA (EMB HOSP)</t>
  </si>
  <si>
    <t>5 MG/ML SOL INJ CX 36 AMP VD TRANS X 1 ML (EMB HOSP)</t>
  </si>
  <si>
    <t>2 MG COM CT BL AL PLAS INC X 75</t>
  </si>
  <si>
    <t>500 mg</t>
  </si>
  <si>
    <t>500 MG COM REV CT BL AL PLAS INC X 200 (EMB HOSP)</t>
  </si>
  <si>
    <t>1G PÓ P/ SOL INJ CT 50 FA VD INC (EMB HOSP)</t>
  </si>
  <si>
    <t>50 MG/ML SOL INJ IM CT 50 AMP VD AMB X 2 ML (EMB HOSP)</t>
  </si>
  <si>
    <t>500 MG COM REV CT BL AL PLAS INC X 300 (EMB HOSP)</t>
  </si>
  <si>
    <t>0,5 MG COM CT BL AL PVC X 500 (EMB HOSP)</t>
  </si>
  <si>
    <t>20% SOL INJ CX 200 AMP PLAS TRANS X 20 ML (EMB HOSP)</t>
  </si>
  <si>
    <t>9 MG/ML + 0,1 MG/ML SOL NAS CT FR PLAS OPC GOT X 30 ML</t>
  </si>
  <si>
    <t>0,6 U/G POM DERM CT 10 BG AL X 30 G + ESP PLAS</t>
  </si>
  <si>
    <t>2 MG COM CX BL AL PLAS INC X 500 (EMB HOSP)</t>
  </si>
  <si>
    <t>11,6 MG/G GEL CX 100 BG AL X 60 G (EMB HOSP)</t>
  </si>
  <si>
    <t>25 MG/ML SOL INJ CT 100 AMP VD INC X 3 ML (EMB HOSP)</t>
  </si>
  <si>
    <t>50 MG COM REV CT BL AL PLAS INC X 500 (EMB HOSP)</t>
  </si>
  <si>
    <t>500 MG/ML SOL OR CX 100 FR PLAST OPC GOT X 20 ML (EMB HOSP)</t>
  </si>
  <si>
    <t>500 MG/ML SOL INJ CX 200 AMP VD AMB X 2 ML (EMB HOSP)</t>
  </si>
  <si>
    <t>50 MG/ML SOL INJ CX 100 AMP VD AMB X 1 ML (EMB HOSP)</t>
  </si>
  <si>
    <t>10 MG COM CX BL AL PLAS INC X 500 (EMB HOSP)</t>
  </si>
  <si>
    <t>1 MG/ML SOL INJ CX 100 AMP VD INC X 1 ML (EMB HOSP)</t>
  </si>
  <si>
    <t>20 MG/ML SOL INJ CT 50 AMP VD AMB X 1 ML (EMB HOSP)</t>
  </si>
  <si>
    <t>10 MG COM REV CT BL AL PLAS INC X 20</t>
  </si>
  <si>
    <t>10 MG COM CT BL AL PLAS INC X 50</t>
  </si>
  <si>
    <t>40 MG/ML SOL INJ CX 50 AMP VD INC X 1 ML (EMB HOSP)</t>
  </si>
  <si>
    <t>5 MG/ML SOL OFT CT FR PLAS OPC GOT X 5 ML</t>
  </si>
  <si>
    <t>4 MG/ML SOL OR CT FR PLAS OPC GOT X 20 ML</t>
  </si>
  <si>
    <t>5 MG COM REV DISP BL AL PLAS INC X 150 (EMB MULT)</t>
  </si>
  <si>
    <t>1 MG/G CREM DERM CT 50 BG AL X 10 G</t>
  </si>
  <si>
    <t>10 MG/ML SOL INJ CX 100 AMP VD AMB X 1 ML</t>
  </si>
  <si>
    <t>10 MG/ML SOL INK CX 100 AMP VD AMB X 2ML</t>
  </si>
  <si>
    <t xml:space="preserve">25% SOL INJ CX 200 AMP PLAS TRANS X 10 ML </t>
  </si>
  <si>
    <t>100 UI/ML SUS INJ CT FA VD INC X 10 ML</t>
  </si>
  <si>
    <t>5 MG/ML SOL INJ CX 100 AMP VD AMB X 2 ML (EMB HOSP)</t>
  </si>
  <si>
    <t>100 MG PO INJ CT FA</t>
  </si>
  <si>
    <t>0,5 MG/ML SOL INJ CX 100 AMP VD AMB X 1 ML (EMB HOSP)</t>
  </si>
  <si>
    <t>27,9 G CX C/ 100 ENV</t>
  </si>
  <si>
    <t>COM REV CT FR PLAS OPC X 30</t>
  </si>
  <si>
    <t>20 MG CAP GEL DURA CT BL AL PLAS INC X 56</t>
  </si>
  <si>
    <t>50 MG/ML + 5 MG/ML SOL INJ CT AMP VD AMB X 1 ML + SERINGA</t>
  </si>
  <si>
    <t>100.000 UI/G + 200 MG/G POM DERM CT BG AL X 10 G</t>
  </si>
  <si>
    <t>20 MG/G CREM VAG CX 50 BG PLAS X 80 G + 50 APLIC (EMB HOSP)</t>
  </si>
  <si>
    <t>20 MG/G CREM DERM CX 100 BG AL X 28 G (EMB HOSP)</t>
  </si>
  <si>
    <t>100 MG/G GEL VAG CX 50 BG AL X 50 G + 500 APLIC (EMB HOSP)</t>
  </si>
  <si>
    <t>250 MG COM REV CT BL AL PLAS OPC X 600 (EMB HOSP)</t>
  </si>
  <si>
    <t>20 MG/G GEL TOP CX 100 BG AL X 30G (EMB HOSP)</t>
  </si>
  <si>
    <t>20 MG CAP GEL MICROGRAN CT 2 BL AL PLAS INC X 15</t>
  </si>
  <si>
    <t>0,4MG/ML + 140MG/ML SOL OTO CT FR PLAS OPC GOT X 8 ML</t>
  </si>
  <si>
    <t>10 MG/G CREM DERM CT BG AL X 20 G</t>
  </si>
  <si>
    <t>50 MG/ML SOL INJ CX 15 AMP VD AMB X 1 ML</t>
  </si>
  <si>
    <t>Saneantes</t>
  </si>
  <si>
    <t>Reagentes</t>
  </si>
  <si>
    <t>Material Médico</t>
  </si>
  <si>
    <t xml:space="preserve">0,6 U/G + 0.01 G/G POM GINEC CT BG AL X 30 G + 6 APLIC. </t>
  </si>
  <si>
    <t>VALOR MÊS</t>
  </si>
  <si>
    <t>VALOR ANO</t>
  </si>
  <si>
    <t>DENTAL SPEED GRAPH</t>
  </si>
  <si>
    <t>DENTAL CREMER</t>
  </si>
  <si>
    <t>DENTAL CALIARI</t>
  </si>
  <si>
    <t>Cuba Redonda 10 cm*  (Cuba para Asssepsia)</t>
  </si>
  <si>
    <t>Patinho* (papagaio)</t>
  </si>
  <si>
    <t>SEJUS + INTERNET</t>
  </si>
  <si>
    <t>SPEED GRAPH + INTERNET</t>
  </si>
  <si>
    <t>Tesoura Cirúrgica  ( curva) reta, 12cm, aço inoxidável resistente a fratura e correção.*, 12cm, aço inoxidável resistente a fratura e correção. *</t>
  </si>
  <si>
    <t>Caixa Térmica 12L (com termômetro)</t>
  </si>
  <si>
    <t>VALOR INVESTIDO</t>
  </si>
  <si>
    <t>Montagem Consultório Odontológico</t>
  </si>
  <si>
    <t>Montagem Sala de Vacina</t>
  </si>
  <si>
    <t>RELATÓRIO CONSOLIDADO DE DESPESAS</t>
  </si>
  <si>
    <t xml:space="preserve">Dipirona Sódica </t>
  </si>
  <si>
    <t>Fenitoina</t>
  </si>
  <si>
    <t>Material de Consumo</t>
  </si>
  <si>
    <t>Material de Saúde</t>
  </si>
  <si>
    <t>Manutenção Hospitalar</t>
  </si>
  <si>
    <t>Manutenção Amalgamador, Aparelho de Ultrassom e Jato de Bicarbonato Odontológico,  Bomba a Vácuo, Cadeira odontológica completa (Cadeira, Equipo, Refletor, Unidade Hídrica, Sistema Flush e Mocho), Compressor Odontológico, Kit Peças de Mãos (Alta Rotação, Micromotor, Contra Ângulo e Peça Reta), Kit Suctor,  Lavadora Ultrasônica, Raio X odontológico</t>
  </si>
  <si>
    <t>Manutenção de Equipamentos Informática</t>
  </si>
  <si>
    <t>Manutenção de Refrigeração</t>
  </si>
  <si>
    <t>1.0</t>
  </si>
  <si>
    <t>1.1</t>
  </si>
  <si>
    <t>1.2</t>
  </si>
  <si>
    <t>1.3</t>
  </si>
  <si>
    <t>1.4</t>
  </si>
  <si>
    <t>1.5</t>
  </si>
  <si>
    <t>1.6</t>
  </si>
  <si>
    <t>1.8</t>
  </si>
  <si>
    <t>1.9</t>
  </si>
  <si>
    <t>1.10</t>
  </si>
  <si>
    <t>1.12</t>
  </si>
  <si>
    <t>1.14</t>
  </si>
  <si>
    <t>1.15</t>
  </si>
  <si>
    <t>1.17</t>
  </si>
  <si>
    <t>1.19</t>
  </si>
  <si>
    <t>1.20</t>
  </si>
  <si>
    <t>1.21</t>
  </si>
  <si>
    <t>1.22</t>
  </si>
  <si>
    <t>1.23</t>
  </si>
  <si>
    <t>1.25</t>
  </si>
  <si>
    <t>1.26</t>
  </si>
  <si>
    <t>1.30</t>
  </si>
  <si>
    <t>1.31</t>
  </si>
  <si>
    <t>1.33</t>
  </si>
  <si>
    <t>1.34</t>
  </si>
  <si>
    <t>1.35</t>
  </si>
  <si>
    <t>1.36</t>
  </si>
  <si>
    <t>2.0</t>
  </si>
  <si>
    <t>3.0</t>
  </si>
  <si>
    <t>4.0</t>
  </si>
  <si>
    <t>2.1</t>
  </si>
  <si>
    <t>3.1</t>
  </si>
  <si>
    <t>4.1</t>
  </si>
  <si>
    <t>4.2</t>
  </si>
  <si>
    <t>4.3</t>
  </si>
  <si>
    <t>4.4</t>
  </si>
  <si>
    <t>MCPB</t>
  </si>
  <si>
    <t>MCPM</t>
  </si>
  <si>
    <t>Manutenção Corretiva e Preventiva Bimestral - MCPB</t>
  </si>
  <si>
    <t>Manutenção Corretiva e Preventiva MENSAL - MCPM</t>
  </si>
  <si>
    <t>OBS 1</t>
  </si>
  <si>
    <t>VALOR UNID</t>
  </si>
  <si>
    <t>VALOR TOTAL</t>
  </si>
  <si>
    <t>Fixa</t>
  </si>
  <si>
    <t>Investimento Inicial</t>
  </si>
  <si>
    <t>Chamados</t>
  </si>
  <si>
    <t>Vistoria</t>
  </si>
  <si>
    <t>Peças</t>
  </si>
  <si>
    <t>Sumário Executivo</t>
  </si>
  <si>
    <t>Manutenção Consultório Odontológico (este tem apenas 1 item)</t>
  </si>
  <si>
    <t>Despesas Fixas</t>
  </si>
  <si>
    <t xml:space="preserve">      A quantidade/mês dos medicamentos foi estimada por meio do Consumo Médio Mensal, que consiste na análise do comportamento do Consumo baseado em uma Série Histórica da população assistida pelas equipes de atenção básica de saúde do Sistema Prisional.</t>
  </si>
  <si>
    <t xml:space="preserve">      Alguns itens por ainda não terem sido adquiridos por esta SEJUS, foi estimada uma previsão de consumo mínima para o início do contrato, ocorrendo sua reposição conforme a utilização.</t>
  </si>
  <si>
    <t xml:space="preserve">      A quantidade/mês dos materiais de consumo médico hospitalar foi estimada por meio do Consumo Médio Mensal, que consiste na análise do comportamento do Consumo baseado em uma Série Histórica da população assistida pelas equipes de atenção básica de saúde do Sistema Prisional.</t>
  </si>
  <si>
    <t xml:space="preserve">      O quantitativo dos materiais de consumo odontológicos foi previsto considerando uma estimativa da quantidade de procedimentos diários realizados nos consultórios odontológicos, bem como a necessidade de reposição de cada item.</t>
  </si>
  <si>
    <t xml:space="preserve">      Os itens constantes para manutenção são aqueles já presentes nas Unidades ou previstos para aquisição.</t>
  </si>
  <si>
    <t xml:space="preserve">      Os itens presentes na planilha foram estimados considerando o Manual da Rede de Frios do Ministério da Saúde/2001, as orientações da Rede de Frio da SESA/ES e as estruturas disponíveis no interior das unidades prisionais que receberão as salas de vacina.</t>
  </si>
  <si>
    <t xml:space="preserve">      As especificações e quantidades dos itens foram estimadas conforme a oferta do serviço de Urgência/Emergência  nas Unidades Prisionais, considerando os dois maiores Complexos Prisionais.</t>
  </si>
  <si>
    <t xml:space="preserve">      As especificações e quantidades dos itens foram estimadas com base na regulamentação da RDC 50/2002 - ANVISA e conforme a oferta do serviço de Atenção Básica nas Unidades Prisionais, considerando as devidas especificidades de espaço físico disponível.</t>
  </si>
  <si>
    <t xml:space="preserve">    A construção da planilha de composição de equipes deu-se com base na Portaria nº 482 de 01 de Abril de 2014 que institui normas para a operacionalização da Política Nacional de Atenção Integral à Saúde das Pessoas Privadas de Liberdade no Sistema Prisional (PNAISP) no âmbito do SUS. Ela estabelece o quantitativo de profissionais equivalente ao total da população de cada estabelecimento prisional. A lógica de constituição de equipes também considerou as exigências do Cadastro Nacional de Estabelecimentos de Saúde que, ao perceber falta de algum profissional daquela equipe cadastrada, realiza o descredenciamento daquela UP, resultando em suspensão de recurso financeiro por parte do MS. Outro ponto considerado na construção da referida planilha foi a série histórica da execução do Programa ao longo dos anos e as particularidades individuais do sistema prisional do ES.</t>
  </si>
  <si>
    <t>Odonto Instrumental Recorrente</t>
  </si>
  <si>
    <t>NOME DO EXAME</t>
  </si>
  <si>
    <t>ANÁLISE DE CARACTERES FISICOS, ELEMENTOS E SEDIMENTOS DA URINA - EAS</t>
  </si>
  <si>
    <t>ANTIBIOGRAMA DE FEZES</t>
  </si>
  <si>
    <t>ANTIBIOGRAMA DE URINA - UROCULTURA</t>
  </si>
  <si>
    <t>ANTIBIOGRAMA LIQUIDO BIOLOGICO</t>
  </si>
  <si>
    <t>ANTIBIOGRAMA TSA (SENSIBILIDADE A ANTIBIOTICOS)</t>
  </si>
  <si>
    <t>CITOMEGALOVIRUS IgG, ANTICORPUS</t>
  </si>
  <si>
    <t>CITOMEGALOVIRUS IgM, ANTICORPUS</t>
  </si>
  <si>
    <t>CLEARANCE DE CREATININA</t>
  </si>
  <si>
    <t xml:space="preserve">CONTAGEM DE PLAQUETAS </t>
  </si>
  <si>
    <t>CONTAGEM DE RETICULOCITOS</t>
  </si>
  <si>
    <t>CULTURA PARA BAAR</t>
  </si>
  <si>
    <t>CULTURA PARA IDENTIFICAÇÃO DE FUNGOS</t>
  </si>
  <si>
    <t>DETERMINAÇÃO DE CAPACIDADE DE FIXAÇÃO DO FERRO</t>
  </si>
  <si>
    <t>DETERMINAÇÃO DE CURVA GLICEMICA (2 DOSAGENS)</t>
  </si>
  <si>
    <t>DETERMINAÇÃO DE CURVA GLICEMICA CLASSICA (5 DOSAGENS)</t>
  </si>
  <si>
    <t>DETERMINAÇÃO DE TEMPO DE COAGULAÇÃO (TC)</t>
  </si>
  <si>
    <t>DETERMINAÇÃO DE TEMPO DE SANGRAMENTO - DUKE (TS)</t>
  </si>
  <si>
    <t>DETERMINAÇÃO DE VELOCIDADE DE HEMOSSENDIMENTAÇÃO (VHS)</t>
  </si>
  <si>
    <t>DETERMINAÇÃO DIRETA E REVERSA DO GRUPO ABO</t>
  </si>
  <si>
    <t>DOSAGEM BILIRRUBINA TOTAL E FRAÇÕES</t>
  </si>
  <si>
    <t>DOSAGEM DE ÁCIDO ÚRICO</t>
  </si>
  <si>
    <t>DOSAGEM DE ALFA 1 GRICOPROTEINA ACIDA</t>
  </si>
  <si>
    <t>DOSAGEM DE AMILASE NO SANGUE</t>
  </si>
  <si>
    <t>DOSAGEM DE ANTIGENO ESPECIFICO PROSTÁTICO LIVRE (PSA LIVRE)</t>
  </si>
  <si>
    <t>DOSAGEM DE ANTIGENO PROSTATICO ESPECIFICO (PSA)</t>
  </si>
  <si>
    <t>DOSAGEM DE CALCIO</t>
  </si>
  <si>
    <t>DOSAGEM DE CALCIO IONIZÁVEL</t>
  </si>
  <si>
    <t>DOSAGEM DE CLORETO</t>
  </si>
  <si>
    <t>DOSAGEM DE COLESTEROL HDL</t>
  </si>
  <si>
    <t>DOSAGEM DE COLESTEROL LDL</t>
  </si>
  <si>
    <t>DOSAGEM DE COLESTEROL TOTAL E FRAÇÕES</t>
  </si>
  <si>
    <t>DOSAGEM DE CREATININA</t>
  </si>
  <si>
    <t>DOSAGEM DE CREATINOFOSFOQUINASE (CPK)</t>
  </si>
  <si>
    <t>DOSAGEM DE CREATINOFOSFOQUINASE FRAÇÃO MB</t>
  </si>
  <si>
    <t>DOSAGEM DE DESIDROGENASE LATICA</t>
  </si>
  <si>
    <t>DOSAGEM DE DESIDROGENASE LATICA FRAÇÕES</t>
  </si>
  <si>
    <t>DOSAGEM DE ESTRADIOL</t>
  </si>
  <si>
    <t>DOSAGEM DE FERRITINA</t>
  </si>
  <si>
    <t>DOSAGEM DE FERRO SÉRICO</t>
  </si>
  <si>
    <t>DOSAGEM DE FOSFATASE ALCALINA</t>
  </si>
  <si>
    <t>DOSAGEM DE FOSFORO</t>
  </si>
  <si>
    <t>DOSAGEM DE GAMA GLUTAMIL TRANSFERASE (GAMA GT)</t>
  </si>
  <si>
    <t>DOSAGEM DE GONADOTROFINA CORIÔNICA HUMANA (HCG, BETA HCG)</t>
  </si>
  <si>
    <t>DOSAGEM DE HEMOGLOBINA</t>
  </si>
  <si>
    <t xml:space="preserve">DOSAGEM DE HEMOGLOBINA GLICOSILADA </t>
  </si>
  <si>
    <t>DOSAGEM DE IMUNOGLOBULINA A (IgA)</t>
  </si>
  <si>
    <t>DOSAGEM DE IMUNOGLOBULINA E (IgE)</t>
  </si>
  <si>
    <t>DOSAGEM DE IMUNOGLOBULINA G (IgG)</t>
  </si>
  <si>
    <t>DOSAGEM DE IMUNOGLOBULINA M (IgM)</t>
  </si>
  <si>
    <t>DOSAGEM DE INSULINA</t>
  </si>
  <si>
    <t>DOSAGEM DE LIPASE</t>
  </si>
  <si>
    <t>DOSAGEM DE MAGNESIO</t>
  </si>
  <si>
    <t>DOSAGEM DE MICROALBUMINA NA URINA</t>
  </si>
  <si>
    <t>DOSAGEM DE MUCOPROTEINAS (EM TIROSINA)</t>
  </si>
  <si>
    <t>DOSAGEM DE POTÁSSIO</t>
  </si>
  <si>
    <t>DOSAGEM DE PROGESTERONA</t>
  </si>
  <si>
    <t>DOSAGEM DE PROLACTINA</t>
  </si>
  <si>
    <t>DOSAGEM DE PROTEINA C REATIVA - PCR</t>
  </si>
  <si>
    <t>DOSAGEM DE PROTEINA TOTAL E FRAÇÕES</t>
  </si>
  <si>
    <t>DOSAGEM DE PROTEINAS TOTAIS</t>
  </si>
  <si>
    <t>DOSAGEM DE PROTEINURA DE 24 HORAS - BENCE JONES</t>
  </si>
  <si>
    <t>DOSAGEM DE SODIO</t>
  </si>
  <si>
    <t>DOSAGEM DE TIROXINA (T4)</t>
  </si>
  <si>
    <t>DOSAGEM DE TIROXINA LIVRE - T4 LIVRE</t>
  </si>
  <si>
    <t>DOSAGEM DE TRANSAMINASE GLUTAMICO-OXALACETICA (TGO)</t>
  </si>
  <si>
    <t>DOSAGEM DE TRANSAMINASE GLUTAMICO-PIRUVICA (TGP)</t>
  </si>
  <si>
    <t>DOSAGEM DE TRANSFERRINA</t>
  </si>
  <si>
    <t>DOSAGEM DE TRIGLICERIDEOS</t>
  </si>
  <si>
    <t>DOSAGEM DE TRIIODOTIRONINA TOTAL - T3 TOTAL</t>
  </si>
  <si>
    <t>DOSAGEM DE URÉIA</t>
  </si>
  <si>
    <t>DOSAGEM DE VITAMINA B12 (COBALAMINA)</t>
  </si>
  <si>
    <t>DOSAGEM DE ZINCO</t>
  </si>
  <si>
    <t>DOSAGEM HORMONIO FOLICULO ESTIMULANTE (FSH)</t>
  </si>
  <si>
    <t>DOSAGEM HORMONIO LUTEINIZANTE (LH)</t>
  </si>
  <si>
    <t>DOSAGEM HORMONIO TIREOESTIMULANTE (TSH)</t>
  </si>
  <si>
    <t>ERITROGRAMA</t>
  </si>
  <si>
    <t>EXAME CITOPATOLOGICO  CERVICO/VAGINAL MICROFLORA</t>
  </si>
  <si>
    <t>FIBRINOGENIO</t>
  </si>
  <si>
    <t>GLICEMIA BASAL</t>
  </si>
  <si>
    <t>GLICEMIA PÓS PRANDIAL-2 HORAS</t>
  </si>
  <si>
    <t>HEMATOCRITO</t>
  </si>
  <si>
    <t>HEMOGRAMA  COMPLETO</t>
  </si>
  <si>
    <t>HEPATITE B (QUANTITATIVO) PCR</t>
  </si>
  <si>
    <t>PESQUISA DE ANTICORPOS IgG CONTRA VIRUS VARICELA - HERPES ZOOSTER</t>
  </si>
  <si>
    <t>PESQUISA DE ANTICORPOS IgG HERPES SIMPLES</t>
  </si>
  <si>
    <t>PESQUISA DE ANTICORPOS IgM CONTRA VIRUS VARICELA - HERPES ZOOSTER</t>
  </si>
  <si>
    <t>PESQUISA DE ANTICORPOS IgM HERPES SIMPLES</t>
  </si>
  <si>
    <t>MONONUCLEOSE (PAUL BUNNEL)</t>
  </si>
  <si>
    <t>MONONUCLEOSE INFECCIOSA EPSTEIN BARR VIRUS IgG</t>
  </si>
  <si>
    <t>MONONUCLEOSE INFECCIOSA EPSTEIN BARR VIRUS IgM</t>
  </si>
  <si>
    <t>PESQUISA DE ANTICORPOS ANTI - HIV 1 E 2 (ELISA)</t>
  </si>
  <si>
    <t>PESQUISA DE ANTICORPOS ANTINUCLEO</t>
  </si>
  <si>
    <t>PESQUISA DE ANTICORPOS ESTREPTOLISINA O (ASLO)</t>
  </si>
  <si>
    <t>PESQUISA DE ANTICORPOS IgG CONTRA O VIRUS DA HEPATITE A</t>
  </si>
  <si>
    <t>PESQUISA DE ANTICORPOS IgG CONTRA O VIRUS DA RUBEOLA - IgG</t>
  </si>
  <si>
    <t>PESQUISA DE ANTICORPOS IgG PARA TOXOPLASMA</t>
  </si>
  <si>
    <t>PESQUISA DE ANTICORPOS IgM CONTRA O VIRUS DA HEPATITE A</t>
  </si>
  <si>
    <t>PESQUISA DE ANTICORPOS IgM CONTRA O VIRUS DA RUBEOLA - IgM</t>
  </si>
  <si>
    <t>PESQUISA DE ANTICORPOS IgM PARA TOXOPLASMA</t>
  </si>
  <si>
    <t>PESQUISA DE ANTIGENO DA HEPATITE C - (HCV)</t>
  </si>
  <si>
    <t>PESQUISA DE ANTIGENO E DA HEPATITE B  (HBEAG)</t>
  </si>
  <si>
    <t>PESQUISA DE ANTIGENO IgM DA HEPATITE B (HbC)</t>
  </si>
  <si>
    <t>PESQUISA DE ANTIGENO S DA HEPATITE B (HBSAG) OU AUSTRÁRIA</t>
  </si>
  <si>
    <t>PESQUISA DE EOSINOFILOS NAS FEZES</t>
  </si>
  <si>
    <t>PESQUISA DE FATOR REUMATOIDE (WAALER - ROSE)</t>
  </si>
  <si>
    <t>PESQUISA DE FATOR RH</t>
  </si>
  <si>
    <t>PESQUISA DE SANGUE OCULTO NAS FEZES - EPF</t>
  </si>
  <si>
    <t>PESQUISA ENTEROBUIS VERMICULARES (OXIURUS)</t>
  </si>
  <si>
    <t>PROVA DE RETRAÇÃO DO COAGULO (RC)</t>
  </si>
  <si>
    <t>PROVA DO LAÇO (PL)</t>
  </si>
  <si>
    <t>TESTE DE VDRL PARA DIGNÓSTICO DA SÍFILIS</t>
  </si>
  <si>
    <t>Exames Laboratoriais</t>
  </si>
  <si>
    <t>DIVERSOS</t>
  </si>
  <si>
    <t>* Aba 9 - Serviços de Apoio</t>
  </si>
  <si>
    <t>BACILOSCOPIA DIRETA PARA BAAR- DIAGNOSE E CONTROLE</t>
  </si>
  <si>
    <t>DETERMINAÇÃO DE TEMPO DE TROMBOPLASTINA PARCIAL ATIVADA (TTP ATIVADA) - PTTK</t>
  </si>
  <si>
    <t>DETERMINAÇÃO DE TEMPO DE ATIVIDADE PROTOMBINA (TAP)</t>
  </si>
  <si>
    <t>EXAME PARASITOLÓGICO DE FEZES - EPF</t>
  </si>
  <si>
    <t>PESQUISA DE ANTIGENO IgG DA HEPATITE B (HbC)</t>
  </si>
  <si>
    <t>TESTE DE ABSORÇÃO DE ANTICORPOS TREPONÊMICOS FLUORESCENTE - FTA-abs IgG e IgM</t>
  </si>
  <si>
    <t>Especificações das Adequações</t>
  </si>
  <si>
    <t>5.0</t>
  </si>
  <si>
    <t xml:space="preserve">Manutenção </t>
  </si>
  <si>
    <t xml:space="preserve">Manutenção dos Gases Medicinais </t>
  </si>
  <si>
    <t>5.1</t>
  </si>
  <si>
    <t>5.2</t>
  </si>
  <si>
    <t>5.3</t>
  </si>
  <si>
    <t>5.4</t>
  </si>
  <si>
    <t>5.5</t>
  </si>
  <si>
    <t>5.6</t>
  </si>
  <si>
    <t>Oxigênio Gasoso Medicinal</t>
  </si>
  <si>
    <t>Ar Comprimido Medicinal</t>
  </si>
  <si>
    <t>Oxigênio Gasoso Medicinal PPU (1m3)</t>
  </si>
  <si>
    <t>Locação de Cilindro de Oxigênio Gasoso Medicinal</t>
  </si>
  <si>
    <t>Locação de Cilindro de Ar Comprimido Gasoso Medicinal</t>
  </si>
  <si>
    <t>Locação de Cilindro de Oxigênio Gasoso Medicinal PPU (1m3)</t>
  </si>
  <si>
    <t>Manutenção Fluxometro</t>
  </si>
  <si>
    <t>Microcomputador tipo desktop</t>
  </si>
  <si>
    <t>* Aba 11 - Material de Saúde</t>
  </si>
  <si>
    <t>* Aba 12 - Saúde Instrumental</t>
  </si>
  <si>
    <t xml:space="preserve">      Na décima segunda aba se encontram todos os itens de saúde instrumental e suas especificações.</t>
  </si>
  <si>
    <t>* Aba 13 - Odonto Instrumental</t>
  </si>
  <si>
    <t xml:space="preserve">      Na décima terceira aba se encontram todos os itens instrumentais odontológicos de compra única e reposição por perda ou dano.</t>
  </si>
  <si>
    <t>* Aba 14 - Montagem Sala de Vacina</t>
  </si>
  <si>
    <t xml:space="preserve">      Na décima quarta aba se encontram itens necessários para a montagem de sala de vacina.</t>
  </si>
  <si>
    <t>* Aba 10 - Estruturação de Informática</t>
  </si>
  <si>
    <t>3.1.1</t>
  </si>
  <si>
    <t>3.1.2</t>
  </si>
  <si>
    <t>3.1.3</t>
  </si>
  <si>
    <t>ITEM</t>
  </si>
  <si>
    <t>Estruturação de Informática</t>
  </si>
  <si>
    <t xml:space="preserve">      Na décima aba se encontram os custos para a estruturação de informática  nas Unidades da SEJUS.</t>
  </si>
  <si>
    <t xml:space="preserve">      O quantitativo de máquinas considerou também a estrutura dos ambulatórios, com o quantitativo possível de sala para instalação dessas.</t>
  </si>
  <si>
    <t xml:space="preserve">      Na décima primeira aba se encontram todos os materiais de saúde hospitalar, suas especificações e unidades de pedido.</t>
  </si>
  <si>
    <t xml:space="preserve">      Os materiais de saúde foram estimados considerando o quantitativo de ambulatórios para atendimento da população prisional, ocorrendo sua reposição em casos de perda ou dano.</t>
  </si>
  <si>
    <t xml:space="preserve">      Os Ministérios da Saúde e da Justiça, por meio de nota, reforçaram a obrigatoriedade de alimentação do Sistema de Informação da Atenção Básica sob pena de suspensão de repasse, necessitando, portanto, de computadores ligados à internet dentro do ambulatório de saúde.</t>
  </si>
  <si>
    <r>
      <t>Manutenção Ar Condicionado (UAU</t>
    </r>
    <r>
      <rPr>
        <sz val="8"/>
        <rFont val="Times New Roman"/>
        <family val="1"/>
      </rPr>
      <t>)</t>
    </r>
  </si>
  <si>
    <t>GRATIFICAÇÃO</t>
  </si>
  <si>
    <t>Pessoal Assistencial</t>
  </si>
  <si>
    <t>Custos Administrativos</t>
  </si>
  <si>
    <t xml:space="preserve">Água e Esgoto </t>
  </si>
  <si>
    <t xml:space="preserve">Energia Elétrica </t>
  </si>
  <si>
    <t>Telefonia Fixa</t>
  </si>
  <si>
    <t>Telefonia Móvel Celular</t>
  </si>
  <si>
    <t>Licenças  e Amortizações de Software</t>
  </si>
  <si>
    <t>Despesas com Viagens, Conduções e Refeições</t>
  </si>
  <si>
    <t>Impostos, Taxas, Contribuições e Desp. Legais (dir.)</t>
  </si>
  <si>
    <t>Locação de Equipamentos e Veículos</t>
  </si>
  <si>
    <t>Outros Custos Gerais (dir.)</t>
  </si>
  <si>
    <t>Seguros Diversos (veiculos / fiança / equiptos)</t>
  </si>
  <si>
    <t>Locações Imóveis (ind.)</t>
  </si>
  <si>
    <t>Seguro Predial (ind.)</t>
  </si>
  <si>
    <t>Depreciação Predial (ind.)</t>
  </si>
  <si>
    <t>Impostos, Taxas, Contribuições e Desp. Legais (ind.)</t>
  </si>
  <si>
    <t xml:space="preserve">Material de Escritório </t>
  </si>
  <si>
    <t>Material de Limpeza</t>
  </si>
  <si>
    <t>Despesas Bancárias</t>
  </si>
  <si>
    <t>Auditoria</t>
  </si>
  <si>
    <t>SERVIÇO</t>
  </si>
  <si>
    <t>Pessoal Administrativo</t>
  </si>
  <si>
    <t>Custeio Administrativo</t>
  </si>
  <si>
    <t>VALOR UNIT</t>
  </si>
  <si>
    <t>DESCRIÇÃO2</t>
  </si>
  <si>
    <t>* Aba 1 - Pessoal Assistencial</t>
  </si>
  <si>
    <t xml:space="preserve">VALOR ANO                </t>
  </si>
  <si>
    <t>LOTE %</t>
  </si>
  <si>
    <t xml:space="preserve">VALOR MÊS </t>
  </si>
  <si>
    <t xml:space="preserve">QUANT </t>
  </si>
  <si>
    <t>MCPS</t>
  </si>
  <si>
    <t>Manutenção Corretiva e Preventiva SEMESTRAL - MCPS</t>
  </si>
  <si>
    <t xml:space="preserve">VALOR UNID </t>
  </si>
  <si>
    <t xml:space="preserve">VALOR ANO </t>
  </si>
  <si>
    <t>VALOR  MENSAL</t>
  </si>
  <si>
    <t>PROPOSTA</t>
  </si>
  <si>
    <t xml:space="preserve">VALOR TOTAL </t>
  </si>
  <si>
    <t>VALOR UNIT (m²)</t>
  </si>
  <si>
    <t>DESCRIÇÃO DETALHADA</t>
  </si>
  <si>
    <t>MEDIDAS ESPECÍFICAS (m²)</t>
  </si>
  <si>
    <t>TOTAL PESSOAL + CUSTOS ADMINISTRATIVOS</t>
  </si>
  <si>
    <t>Broca esférica em aço de Baixa Rotação para contra ângulo nº 08 cx. 10 unidades*</t>
  </si>
  <si>
    <t xml:space="preserve">Transformador de energia </t>
  </si>
  <si>
    <t>Compressor</t>
  </si>
  <si>
    <t>Auxiliar de Saúde Bucal 30 horas</t>
  </si>
  <si>
    <t>Cirurgião Dentista 30 horas</t>
  </si>
  <si>
    <t>Médico Generalista 40 horas</t>
  </si>
  <si>
    <t>Nutricionista 40 horas</t>
  </si>
  <si>
    <t>Psicólogo 40 horas</t>
  </si>
  <si>
    <t>Terapeuta Ocupacional 20h</t>
  </si>
  <si>
    <t>CASCUVV</t>
  </si>
  <si>
    <t xml:space="preserve">CDPVV </t>
  </si>
  <si>
    <t>PEVV I</t>
  </si>
  <si>
    <t>PEVV II</t>
  </si>
  <si>
    <t>PEVV III</t>
  </si>
  <si>
    <t>PSVV</t>
  </si>
  <si>
    <t>PEVV V</t>
  </si>
  <si>
    <t>UCTP</t>
  </si>
  <si>
    <t>PSC</t>
  </si>
  <si>
    <t xml:space="preserve">PFC </t>
  </si>
  <si>
    <t>CDPG</t>
  </si>
  <si>
    <t xml:space="preserve">CDPCI </t>
  </si>
  <si>
    <t xml:space="preserve">CPFCI </t>
  </si>
  <si>
    <t>PRCI</t>
  </si>
  <si>
    <t>CDPM</t>
  </si>
  <si>
    <t xml:space="preserve">Unidades que possuem estrutura de ambulatório completo: CPFCI, CDPG, CDPVV,  PEVVI, PEVVII, PEVV V, PFC, PRCI, PSVV/PEVV III*, UCTP • Sala de espera: 01, • Sala administrativa: 01, • Farmacia: 01, • Copa: 01,  • Consultórios indiferenciados: 03, • Consultório odontológico: 01, • Posto de enfermagem: 01, • Central de esterilização: 01, • Sala de observação: 01 com capacidade para 02 leitos cada uma., • Depósito de material de limpeza: 01, Obs: * Unidades que dividem o mesmo ambulatório.                                                Unidades que possuem estrutura diferenciada de uma ou duas salas de atendimento:  CASCUVV, CDPCI, PSC: • Sala de atendimento de Enfermagem/Médico.  CDPM: Sala de atendimento médico/enfermagem:01, Consultório odontológico:01. </t>
  </si>
  <si>
    <t>LOTE 1 - PSVV</t>
  </si>
  <si>
    <t>LOTE 2 - PSVV, CDPM, CDPCI, PSC</t>
  </si>
  <si>
    <t>Montagem Ambulatório</t>
  </si>
  <si>
    <t>ARMÁRIO DE AÇO COM DUAS PORTAS</t>
  </si>
  <si>
    <t>ARMÁRIO DE ARQUIVO</t>
  </si>
  <si>
    <t>AUTOCLAVE DE 21 LITROS</t>
  </si>
  <si>
    <t>BIOMBO</t>
  </si>
  <si>
    <t>CADEIRA COM RODIZIOS</t>
  </si>
  <si>
    <t>CADEIRA FIXA</t>
  </si>
  <si>
    <t>CAMA FOWLER</t>
  </si>
  <si>
    <t>CARRINHO DE CURATIVO</t>
  </si>
  <si>
    <t>COLCHÃO COM REVESTIMENTO IMPERMEÁVEL</t>
  </si>
  <si>
    <t>ESCADA COM DOIS DEGRAUS</t>
  </si>
  <si>
    <t>ESTANTE DE AÇO</t>
  </si>
  <si>
    <t>FILTRO DE ÁGUA</t>
  </si>
  <si>
    <t>FRIGOBAR</t>
  </si>
  <si>
    <t>MACA COM COLCHÃO IMPERMEÁVEL</t>
  </si>
  <si>
    <t>MESINHA DE CABECEIRA</t>
  </si>
  <si>
    <t>Construção ou Adequação de Ambulatório - PSVV</t>
  </si>
  <si>
    <r>
      <rPr>
        <b/>
        <sz val="8"/>
        <rFont val="Times New Roman"/>
        <family val="1"/>
      </rPr>
      <t xml:space="preserve">ESPAÇO FÍSICO EXISTENTE DIPONÍVEL: </t>
    </r>
    <r>
      <rPr>
        <sz val="8"/>
        <rFont val="Times New Roman"/>
        <family val="1"/>
      </rPr>
      <t xml:space="preserve">GALPÃO COM PISO, PAREDES E TELHADO DE APROXIMADAMENTE 265,8 m².                                                                                                                                </t>
    </r>
    <r>
      <rPr>
        <b/>
        <sz val="8"/>
        <rFont val="Times New Roman"/>
        <family val="1"/>
      </rPr>
      <t>NECESSIDADE:</t>
    </r>
    <r>
      <rPr>
        <sz val="8"/>
        <rFont val="Times New Roman"/>
        <family val="1"/>
      </rPr>
      <t xml:space="preserve"> ADEQUAÇÃO DO ESPAÇO EM CONFORMIDADE COM A RDC 50, CONTENDO:                                                                                                                                                              </t>
    </r>
    <r>
      <rPr>
        <b/>
        <sz val="8"/>
        <rFont val="Times New Roman"/>
        <family val="1"/>
      </rPr>
      <t>01 recepção (6,5 m²)                                                                                     01 administrativo (9,64 m²)                                                                                              01 consultório odontológico (9,6m²)                                                                                                                             05 consultórios indiferenciados (37,5 m²)                                                                          01 sala de coleta (3,5 m²)                                                                                   01 posto de enfermagem (10 m²)                                                                                 01 sala de observação com capacidade para 02 leitos (14 m²)                                                                                 01 sala de curativos (6 m²)                                                                                                       01 sala de esterilização - CME (antecâmara, expurgo, esterilização (12,82 m²)                                                                                                                                                                    01 depósito de material de limpeza - DML (2,1 m²)                                         01 sala de utilidades (2,7 m²)                                                                                                                01 copa (5 m²)                                                                                                                                             01 farmácia (3,5 m²)                                                                                               02 sanitários para a equipe (7,68 m²)                                                         02 sanitários para pacientes (5,4 m²)                                                           circulação (35 m²)</t>
    </r>
  </si>
  <si>
    <t>2.2</t>
  </si>
  <si>
    <t xml:space="preserve"> Construção ou Adequação de Sala de Vacina - PSVV</t>
  </si>
  <si>
    <r>
      <rPr>
        <b/>
        <sz val="8"/>
        <rFont val="Times New Roman"/>
        <family val="1"/>
      </rPr>
      <t>ESPAÇO FÍSICO EXISTENTE DISPONÍVEL:</t>
    </r>
    <r>
      <rPr>
        <sz val="8"/>
        <rFont val="Times New Roman"/>
        <family val="1"/>
      </rPr>
      <t xml:space="preserve"> GALPÃO COM PISO, PAREDES E TELHADO DE APROXIMADAMENTE 265,8 m².                                                                                                                   </t>
    </r>
    <r>
      <rPr>
        <b/>
        <sz val="8"/>
        <rFont val="Times New Roman"/>
        <family val="1"/>
      </rPr>
      <t>NECESSIDADE:</t>
    </r>
    <r>
      <rPr>
        <sz val="8"/>
        <rFont val="Times New Roman"/>
        <family val="1"/>
      </rPr>
      <t xml:space="preserve"> ADEQUAÇÃO EM CONFORMIDADE COM A LEGISLAÇÃO DE REDE DE FRIOS DO MS, CONTENDO:                                                                                                        </t>
    </r>
    <r>
      <rPr>
        <b/>
        <sz val="8"/>
        <rFont val="Times New Roman"/>
        <family val="1"/>
      </rPr>
      <t>01 recepção:</t>
    </r>
    <r>
      <rPr>
        <sz val="8"/>
        <rFont val="Times New Roman"/>
        <family val="1"/>
      </rPr>
      <t xml:space="preserve"> com pontos de energia para 01 computador e 01 impressora, ponto de internet, ponto de energia para instalação de ar condicionado </t>
    </r>
    <r>
      <rPr>
        <b/>
        <sz val="8"/>
        <rFont val="Times New Roman"/>
        <family val="1"/>
      </rPr>
      <t>(6 m²)</t>
    </r>
    <r>
      <rPr>
        <sz val="8"/>
        <rFont val="Times New Roman"/>
        <family val="1"/>
      </rPr>
      <t xml:space="preserve">                                                                                               </t>
    </r>
    <r>
      <rPr>
        <b/>
        <sz val="8"/>
        <rFont val="Times New Roman"/>
        <family val="1"/>
      </rPr>
      <t>01 sala de aplicação:</t>
    </r>
    <r>
      <rPr>
        <sz val="8"/>
        <rFont val="Times New Roman"/>
        <family val="1"/>
      </rPr>
      <t xml:space="preserve"> com espaço e pontos de energia para instalação  câmara frigorifica e  freezer, com 01 bancada de inox grande com 01 pia, 03 pontos de energia sobre a bancada, rede elétrica para instalação de 01 gerador especifico para sala de vacina,  ponto de energia para instalação de ar condicionado </t>
    </r>
    <r>
      <rPr>
        <b/>
        <sz val="8"/>
        <rFont val="Times New Roman"/>
        <family val="1"/>
      </rPr>
      <t>(8 m²)</t>
    </r>
  </si>
  <si>
    <t>2.3</t>
  </si>
  <si>
    <t>Cosntrução de Central de Ambulâncias - PSVV</t>
  </si>
  <si>
    <r>
      <t xml:space="preserve">ADEQUAÇÃO, CONTENDO:                                                       </t>
    </r>
    <r>
      <rPr>
        <b/>
        <sz val="8"/>
        <rFont val="Times New Roman"/>
        <family val="1"/>
      </rPr>
      <t xml:space="preserve"> 01 abrigo para 02 ambulâncias (16 m²)                                                             01 sala de apoio (6 m²)</t>
    </r>
  </si>
  <si>
    <t>2.4</t>
  </si>
  <si>
    <t>Adequação para Ambulatório - PSC</t>
  </si>
  <si>
    <r>
      <t xml:space="preserve">ESPAÇO FÍSICO EXISTENTE DISPONÍVEL: SALAS COM PISO, PAREDES E TELHADO DE APROXIMADAMENTE 130 m².                      NECESSIDADE: REDIMENCIONAMENTO E REFORMA, ADEQUAÇÃO DO ESPAÇO EM CONFORMIDADE COM A RDC 50, CONTENDO:                                                                                                   </t>
    </r>
    <r>
      <rPr>
        <b/>
        <sz val="8"/>
        <rFont val="Times New Roman"/>
        <family val="1"/>
      </rPr>
      <t>01 recepção (6 m²)                                                                                              01 administrativo (9 m²)                                                                                          01 consultório odontológico (9,6 m²)                                                                                       03 consultórios indiferenciados (21 m²)                                                                                              01 posto de enfermagem (13 m²)                                                                                          01 sala de observação com capacidade para 01 leito (9 m²)                                                                                                   01 central de esterilização - CME</t>
    </r>
    <r>
      <rPr>
        <sz val="8"/>
        <rFont val="Times New Roman"/>
        <family val="1"/>
      </rPr>
      <t xml:space="preserve"> (antecâmara, expurgo, esterilização) </t>
    </r>
    <r>
      <rPr>
        <b/>
        <sz val="8"/>
        <rFont val="Times New Roman"/>
        <family val="1"/>
      </rPr>
      <t>(12 m²)                                                                                           01 deposito de material de limpeza - DML (2,1 m²)                                                                                       02 sanitários para a equipe (5,4 m²)                                                                             02 sanitário para paciente (5,4 m²)                                                            Circulação (22 m²)</t>
    </r>
  </si>
  <si>
    <t>2.5</t>
  </si>
  <si>
    <t>Adequação consultório odontológico - CDPCI</t>
  </si>
  <si>
    <r>
      <rPr>
        <b/>
        <sz val="8"/>
        <rFont val="Times New Roman"/>
        <family val="1"/>
      </rPr>
      <t>ESPAÇO FÍSICO EXISTENTE DISPONÍVEL:</t>
    </r>
    <r>
      <rPr>
        <sz val="8"/>
        <rFont val="Times New Roman"/>
        <family val="1"/>
      </rPr>
      <t xml:space="preserve"> SALA COM PISO, PAREDES E TELHADO.                                                                          </t>
    </r>
    <r>
      <rPr>
        <b/>
        <sz val="8"/>
        <rFont val="Times New Roman"/>
        <family val="1"/>
      </rPr>
      <t>NECESSIDADE:</t>
    </r>
    <r>
      <rPr>
        <sz val="8"/>
        <rFont val="Times New Roman"/>
        <family val="1"/>
      </rPr>
      <t xml:space="preserve"> ADEQUAÇÃO DO ESPAÇO EM CONFORMIDADE COM A RDC 50, CONTENDO:                                                                Instalação elétrica, hidráulica e esgoto para instalação de todo equipamento odontológico </t>
    </r>
    <r>
      <rPr>
        <b/>
        <sz val="8"/>
        <rFont val="Times New Roman"/>
        <family val="1"/>
      </rPr>
      <t>(18,8 m²)</t>
    </r>
  </si>
  <si>
    <t>2.6</t>
  </si>
  <si>
    <t>Adequação consultório odontológico - CDPM</t>
  </si>
  <si>
    <r>
      <rPr>
        <b/>
        <sz val="8"/>
        <rFont val="Times New Roman"/>
        <family val="1"/>
      </rPr>
      <t>ESPAÇO FÍSICO EXISTENTE DISPONÍVEL:</t>
    </r>
    <r>
      <rPr>
        <sz val="8"/>
        <rFont val="Times New Roman"/>
        <family val="1"/>
      </rPr>
      <t xml:space="preserve"> SALA COM PISO, PAREDES E TELHADO.                                                </t>
    </r>
    <r>
      <rPr>
        <b/>
        <sz val="8"/>
        <rFont val="Times New Roman"/>
        <family val="1"/>
      </rPr>
      <t>NECESSIDADE:</t>
    </r>
    <r>
      <rPr>
        <sz val="8"/>
        <rFont val="Times New Roman"/>
        <family val="1"/>
      </rPr>
      <t xml:space="preserve"> ADEQUAÇÃO DO ESPAÇO EM CONFORMIDADE COM A RDC 50, CONTENDO:                                                                                        Instalação elétrica, hidráulica e esgoto para instalação de todo equipamento odontológico (14,25 m²)                                                                                        Instalação de pia com bancada (14,25 m²)</t>
    </r>
  </si>
  <si>
    <t>LOTE 2 - PSVV</t>
  </si>
  <si>
    <t xml:space="preserve">      A planilha de pessoal contém um demonstrativo de todos os custos com cada profissional, demonstra a participação de itens como piso salarial, insalubridade e encargos no custo total.</t>
  </si>
  <si>
    <t>* Aba 2 - Custeio Administrativo</t>
  </si>
  <si>
    <t>Na segunda aba se encontram discriminados todos os custos da OS inerentes a gestão da execução do projeto.</t>
  </si>
  <si>
    <t>* Aba 3 - Medicamentos</t>
  </si>
  <si>
    <t xml:space="preserve">      Na terceira  aba se encontram todos os medicamentos utilizados, apresentação/posologia e forma farmacêutica.</t>
  </si>
  <si>
    <t>* Aba 4 - Material de Consumo</t>
  </si>
  <si>
    <t xml:space="preserve">      Na quarta aba se encontram todos os materiais de consumo hospitalar, suas especificações e unidades demandadas.</t>
  </si>
  <si>
    <t>* Aba 5 - Odonto Material de Consumo</t>
  </si>
  <si>
    <t xml:space="preserve">      Na quinta aba se encontram todos os materiais de consumo odontológicos e suas reposições.</t>
  </si>
  <si>
    <t>* Aba 6 - Odonto Instrumental Recorrente</t>
  </si>
  <si>
    <t xml:space="preserve">      Na sexta aba se encontram todos os materiais instrumentais odontológicos cujo consumo é constante e os pedidos ocorrem periodicamente.</t>
  </si>
  <si>
    <t xml:space="preserve">      O quantitativo dos materiais odontológicos instrumentais foi previsto considerando uma estimativa da quantidade de procedimentos diários realizados nos consultórios odontológicos, bem como a necessidade de reposição de cada item.</t>
  </si>
  <si>
    <t>* Aba 7 - Exames Laboratoriais</t>
  </si>
  <si>
    <t xml:space="preserve">      Na sétima aba se encontram todos os exames laboratoriais passiveis de utilização.</t>
  </si>
  <si>
    <t xml:space="preserve">      As especificações e quantidades dos exames foram estimadas com base em uma média da série histórica da população assistida pelas equipes de saúde do Sistema Prisional, exames demandados para cumprimento de indicadores e as especificidades de serviços de cada unidade.</t>
  </si>
  <si>
    <t>* Aba 8 - Manutenção</t>
  </si>
  <si>
    <t xml:space="preserve">      Na oitava aba se encontram todos os custos com manutenção de equipamentos, subdivididos em manutenção hospitalar, manutenção de consultório odontológico, manutenção de equipamentos de informática, manutenção de refrigeração e manutenção dos Gases Medicinais.</t>
  </si>
  <si>
    <t xml:space="preserve">      Os itens de saúde instrumental foram estimados considerando o quantitativo de ambulatórios para atendimento da população prisional, ocorrendo sua reposição em casos de perda ou dano. </t>
  </si>
  <si>
    <t xml:space="preserve">      O quantitativo dos materiais odontológicos instrumentais foi previsto considerando uma estimativa da quantidade de procedimentos diários realizados nos consultórios odontológicos, bem como a necessidade de reposição de cada item. </t>
  </si>
  <si>
    <t xml:space="preserve">      As especificações e quantidades dos materiais permanentes do consultório odontológico foram estimadas conforme a oferta do serviço de Odontologia na Atenção Básica nas Unidades Prisionais e na regulamentação vigente. </t>
  </si>
  <si>
    <t xml:space="preserve">    Os itens presentes na planilha foram estimados considerando a RDC 50/2002 – ANVISA, a divisão por lotes, os espaços físicos disponíveis nas unidades prisionais observados através das plantas baixas recebidas do DIGEA - Diretoria Geral de Engenharia e Arquitetura da SEJUS, o alto quantitativo da população a ser assistida e as necessidades apresentadas ao longo dos últimos anos pelas unidades a serem beneficiadas. A lógica utilizada para a construção dessa planilha também foi a de buscar adequação às regulamentações da PNAISP, principalmente à PI 482/2014, pois sem os ajustes estruturais não seria possível alocar uma equipe multidisciplinar.</t>
  </si>
  <si>
    <t>* Aba 15 - Montagem Consultório Odonto</t>
  </si>
  <si>
    <t xml:space="preserve">      Na décima quinta aba se encontram itens necessários para a montagem de consultório odontológico.</t>
  </si>
  <si>
    <t xml:space="preserve">      Na décima sexta aba se encontram itens necessários para a montagem de central de ambulâncias.</t>
  </si>
  <si>
    <t>* Aba 16 - Montagem Central de Ambulâncias</t>
  </si>
  <si>
    <t>* Aba 17 - Montagem Ambulatório</t>
  </si>
  <si>
    <t xml:space="preserve">      Na décima sétima aba se encontram itens necessários para a montagem de ambulatório.</t>
  </si>
  <si>
    <t>* Aba 18 - Especificações das Adequações</t>
  </si>
  <si>
    <t xml:space="preserve">      Na décima oitava  aba se encontram as demandas para as obras de construção ou adequações dos espaços, além dos cômodos e itens de construção necessários e das medidas de cada um.</t>
  </si>
  <si>
    <t xml:space="preserve">      Na nona aba se encontram todos os custos com serviço de manutenção predial que foi estimado para os ambulatórios de todas as Unidades considerando suas respectivas especificidades prediais.</t>
  </si>
  <si>
    <t xml:space="preserve">O presente arquivo visa servir de parâmetro para a composição dos custos para o processo de seleção de Organização Social de Saúde, consistindo em planilha padronizada para apresentação da proposta técnica da OS,  base referencial para previsão de todos os custos estimados para a execução do Sistema de Saúde, no âmbito prisional, do Estado do Espírito Santo, referente ao Lote 2. 
O arquivo possui 20 abas no total. A primeira é este Sumário Executivo no qual consta a breve apresentação do conteudo de cada aba.  A segunda apresenta o consolidado de todos os gastos. As demais 18, contém a discriminação dos itens e seus respectivos quantitativos estimados.
Na Aba Consolidado há a discriminação das despesas em 2 grupos básicos (despesas fixas e investimento inicial), sendo o primeiro grupo aquele com despesas recorrentes e permanentes das unidades prisionais e o segundo grupo a apropriação dos valores de investimento inicial, para o início efetivo do projeto de saúde. Essa aba encontra-se bloqueada uma vez que apresenta preenchimento automático.
Neste sentido nos cumpre esclarecer que todas as abas estão com fórmulas previamente estabelecidas considerando a periodicidade de reposição bem como quantitativo estimado de consumo e serviço. Assim, a OS deve preencher com os valores unitários apenas as colunas em amarelo sendo computado automaticamente os valores mensais e anuais.
</t>
  </si>
  <si>
    <t>Combustiveis</t>
  </si>
  <si>
    <t>Treinamento (Locação de espaço, palestrante, Coffee break</t>
  </si>
  <si>
    <t>Outros Serviços de Terceiros (P.F / P.J)</t>
  </si>
  <si>
    <t>CONSOLIDADO - LOTE 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</si>
</sst>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43" formatCode="_-* #,##0.00_-;\-* #,##0.00_-;_-* &quot;-&quot;??_-;_-@_-"/>
    <numFmt numFmtId="164" formatCode="_(* #,##0.00_);_(* \(#,##0.00\);_(* &quot;-&quot;??_);_(@_)"/>
    <numFmt numFmtId="165" formatCode="0.0%"/>
    <numFmt numFmtId="166" formatCode="_-* #,##0_-;\-* #,##0_-;_-* &quot;-&quot;??_-;_-@_-"/>
  </numFmts>
  <fonts count="44" x14ac:knownFonts="1">
    <font>
      <sz val="11"/>
      <color theme="1"/>
      <name val="Calibri"/>
      <family val="2"/>
      <scheme val="minor"/>
    </font>
    <font>
      <sz val="8"/>
      <name val="Calibri"/>
      <family val="2"/>
      <scheme val="minor"/>
    </font>
    <font>
      <sz val="11"/>
      <color theme="1"/>
      <name val="Calibri"/>
      <family val="2"/>
      <scheme val="minor"/>
    </font>
    <font>
      <sz val="8"/>
      <color theme="1"/>
      <name val="Times New Roman"/>
      <family val="1"/>
    </font>
    <font>
      <sz val="8"/>
      <name val="Times New Roman"/>
      <family val="1"/>
    </font>
    <font>
      <b/>
      <sz val="8"/>
      <name val="Times New Roman"/>
      <family val="1"/>
    </font>
    <font>
      <sz val="8"/>
      <name val="Times New Roman"/>
      <family val="1"/>
    </font>
    <font>
      <b/>
      <sz val="9"/>
      <name val="Times New Roman"/>
      <family val="1"/>
    </font>
    <font>
      <sz val="9"/>
      <name val="Times New Roman"/>
      <family val="1"/>
    </font>
    <font>
      <sz val="10"/>
      <name val="Times New Roman"/>
      <family val="1"/>
    </font>
    <font>
      <sz val="8"/>
      <name val="Times New Roman"/>
      <family val="1"/>
    </font>
    <font>
      <sz val="9"/>
      <name val="Times New Roman"/>
      <family val="1"/>
    </font>
    <font>
      <b/>
      <sz val="9"/>
      <name val="Times New Roman"/>
      <family val="1"/>
    </font>
    <font>
      <b/>
      <sz val="9"/>
      <color theme="1"/>
      <name val="Times New Roman"/>
      <family val="1"/>
    </font>
    <font>
      <sz val="8"/>
      <name val="Times New Roman"/>
      <family val="1"/>
    </font>
    <font>
      <sz val="9"/>
      <color theme="1"/>
      <name val="Times New Roman"/>
      <family val="1"/>
    </font>
    <font>
      <b/>
      <sz val="14"/>
      <color theme="0"/>
      <name val="Times New Roman"/>
      <family val="1"/>
    </font>
    <font>
      <b/>
      <sz val="11"/>
      <color theme="0"/>
      <name val="Times New Roman"/>
      <family val="1"/>
    </font>
    <font>
      <sz val="11"/>
      <color theme="1" tint="-0.499984740745262"/>
      <name val="Calibri"/>
      <family val="2"/>
      <scheme val="minor"/>
    </font>
    <font>
      <sz val="11"/>
      <color theme="8" tint="-0.499984740745262"/>
      <name val="Calibri"/>
      <family val="2"/>
      <scheme val="minor"/>
    </font>
    <font>
      <sz val="11"/>
      <color theme="4"/>
      <name val="Calibri"/>
      <family val="2"/>
      <scheme val="minor"/>
    </font>
    <font>
      <b/>
      <sz val="11"/>
      <color theme="1" tint="-0.499984740745262"/>
      <name val="Calibri"/>
      <family val="2"/>
      <scheme val="minor"/>
    </font>
    <font>
      <sz val="9"/>
      <color theme="1" tint="-0.499984740745262"/>
      <name val="Times New Roman"/>
      <family val="1"/>
    </font>
    <font>
      <sz val="9"/>
      <color theme="8" tint="-0.499984740745262"/>
      <name val="Times New Roman"/>
      <family val="1"/>
    </font>
    <font>
      <b/>
      <sz val="9"/>
      <color theme="1" tint="-0.499984740745262"/>
      <name val="Times New Roman"/>
      <family val="1"/>
    </font>
    <font>
      <b/>
      <sz val="16"/>
      <color theme="0"/>
      <name val="Times New Roman"/>
      <family val="1"/>
    </font>
    <font>
      <sz val="12"/>
      <color theme="8" tint="-0.499984740745262"/>
      <name val="Calibri"/>
      <family val="2"/>
      <scheme val="minor"/>
    </font>
    <font>
      <sz val="9"/>
      <color theme="4"/>
      <name val="Times New Roman"/>
      <family val="1"/>
    </font>
    <font>
      <sz val="12"/>
      <color theme="1"/>
      <name val="Calibri"/>
      <family val="2"/>
      <scheme val="minor"/>
    </font>
    <font>
      <sz val="11"/>
      <color theme="0"/>
      <name val="Calibri"/>
      <family val="2"/>
      <scheme val="minor"/>
    </font>
    <font>
      <sz val="9"/>
      <color theme="0"/>
      <name val="Times New Roman"/>
      <family val="1"/>
    </font>
    <font>
      <b/>
      <sz val="11"/>
      <name val="Calibri"/>
      <family val="2"/>
      <scheme val="minor"/>
    </font>
    <font>
      <sz val="11"/>
      <name val="Calibri"/>
      <family val="2"/>
      <scheme val="minor"/>
    </font>
    <font>
      <sz val="8"/>
      <name val="Times New Roman"/>
      <family val="1"/>
    </font>
    <font>
      <b/>
      <sz val="10"/>
      <color theme="1" tint="-0.499984740745262"/>
      <name val="Calibri"/>
      <family val="2"/>
      <scheme val="minor"/>
    </font>
    <font>
      <sz val="11"/>
      <color rgb="FF750D5F"/>
      <name val="Calibri"/>
      <family val="2"/>
      <scheme val="minor"/>
    </font>
    <font>
      <b/>
      <sz val="10"/>
      <name val="Calibri"/>
      <family val="2"/>
      <scheme val="minor"/>
    </font>
    <font>
      <b/>
      <sz val="10"/>
      <color rgb="FFFF0000"/>
      <name val="Calibri"/>
      <family val="2"/>
      <scheme val="minor"/>
    </font>
    <font>
      <sz val="8"/>
      <name val="Times New Roman"/>
      <family val="1"/>
    </font>
    <font>
      <b/>
      <sz val="8"/>
      <name val="Times New Roman"/>
      <family val="1"/>
    </font>
    <font>
      <sz val="9"/>
      <name val="Times New Roman"/>
      <family val="1"/>
    </font>
    <font>
      <sz val="10"/>
      <color rgb="FF000000"/>
      <name val="Times New Roman"/>
      <family val="1"/>
    </font>
    <font>
      <b/>
      <sz val="11"/>
      <name val="Times New Roman"/>
      <family val="1"/>
    </font>
    <font>
      <sz val="8"/>
      <name val="Times New Roman"/>
    </font>
  </fonts>
  <fills count="12">
    <fill>
      <patternFill patternType="none"/>
    </fill>
    <fill>
      <patternFill patternType="gray125"/>
    </fill>
    <fill>
      <patternFill patternType="solid">
        <fgColor rgb="FF0070C0"/>
        <bgColor indexed="64"/>
      </patternFill>
    </fill>
    <fill>
      <patternFill patternType="solid">
        <fgColor rgb="FFDDE9FF"/>
        <bgColor indexed="64"/>
      </patternFill>
    </fill>
    <fill>
      <patternFill patternType="solid">
        <fgColor theme="0"/>
        <bgColor indexed="64"/>
      </patternFill>
    </fill>
    <fill>
      <patternFill patternType="solid">
        <fgColor rgb="FFFFEBF6"/>
        <bgColor indexed="64"/>
      </patternFill>
    </fill>
    <fill>
      <patternFill patternType="solid">
        <fgColor rgb="FFFFB3E4"/>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79998168889431442"/>
        <bgColor theme="9" tint="0.79998168889431442"/>
      </patternFill>
    </fill>
  </fills>
  <borders count="24">
    <border>
      <left/>
      <right/>
      <top/>
      <bottom/>
      <diagonal/>
    </border>
    <border>
      <left style="thin">
        <color theme="0"/>
      </left>
      <right/>
      <top/>
      <bottom/>
      <diagonal/>
    </border>
    <border>
      <left/>
      <right style="thin">
        <color theme="0"/>
      </right>
      <top/>
      <bottom/>
      <diagonal/>
    </border>
    <border>
      <left style="thin">
        <color rgb="FF750D5F"/>
      </left>
      <right/>
      <top style="thin">
        <color rgb="FF750D5F"/>
      </top>
      <bottom/>
      <diagonal/>
    </border>
    <border>
      <left/>
      <right/>
      <top style="thin">
        <color rgb="FF750D5F"/>
      </top>
      <bottom/>
      <diagonal/>
    </border>
    <border>
      <left/>
      <right style="thin">
        <color rgb="FF750D5F"/>
      </right>
      <top style="thin">
        <color rgb="FF750D5F"/>
      </top>
      <bottom/>
      <diagonal/>
    </border>
    <border>
      <left style="thin">
        <color rgb="FF750D5F"/>
      </left>
      <right/>
      <top/>
      <bottom/>
      <diagonal/>
    </border>
    <border>
      <left/>
      <right style="thin">
        <color rgb="FF750D5F"/>
      </right>
      <top/>
      <bottom/>
      <diagonal/>
    </border>
    <border>
      <left style="thin">
        <color rgb="FF750D5F"/>
      </left>
      <right/>
      <top/>
      <bottom style="thin">
        <color rgb="FF750D5F"/>
      </bottom>
      <diagonal/>
    </border>
    <border>
      <left/>
      <right/>
      <top/>
      <bottom style="thin">
        <color rgb="FF750D5F"/>
      </bottom>
      <diagonal/>
    </border>
    <border>
      <left/>
      <right style="thin">
        <color rgb="FF750D5F"/>
      </right>
      <top/>
      <bottom style="thin">
        <color rgb="FF750D5F"/>
      </bottom>
      <diagonal/>
    </border>
    <border>
      <left/>
      <right/>
      <top style="thin">
        <color auto="1"/>
      </top>
      <bottom style="thin">
        <color auto="1"/>
      </bottom>
      <diagonal/>
    </border>
    <border>
      <left/>
      <right/>
      <top/>
      <bottom style="thin">
        <color auto="1"/>
      </bottom>
      <diagonal/>
    </border>
    <border>
      <left/>
      <right/>
      <top style="dotted">
        <color auto="1"/>
      </top>
      <bottom style="dotted">
        <color auto="1"/>
      </bottom>
      <diagonal/>
    </border>
    <border>
      <left/>
      <right/>
      <top/>
      <bottom style="dotted">
        <color auto="1"/>
      </bottom>
      <diagonal/>
    </border>
    <border>
      <left/>
      <right/>
      <top style="dotted">
        <color auto="1"/>
      </top>
      <bottom style="thin">
        <color auto="1"/>
      </bottom>
      <diagonal/>
    </border>
    <border>
      <left/>
      <right/>
      <top style="thin">
        <color auto="1"/>
      </top>
      <bottom/>
      <diagonal/>
    </border>
    <border>
      <left/>
      <right/>
      <top style="thin">
        <color auto="1"/>
      </top>
      <bottom style="dotted">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dotted">
        <color auto="1"/>
      </top>
      <bottom/>
      <diagonal/>
    </border>
    <border>
      <left/>
      <right/>
      <top style="hair">
        <color auto="1"/>
      </top>
      <bottom style="thin">
        <color auto="1"/>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293">
    <xf numFmtId="0" fontId="0" fillId="0" borderId="0" xfId="0"/>
    <xf numFmtId="0" fontId="5"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43" fontId="5" fillId="0" borderId="0" xfId="1" applyFont="1" applyFill="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3" fillId="0" borderId="0" xfId="0" applyFont="1" applyAlignment="1">
      <alignment horizontal="center" vertical="center" wrapText="1"/>
    </xf>
    <xf numFmtId="9" fontId="4" fillId="0" borderId="0" xfId="2" applyFont="1" applyBorder="1" applyAlignment="1">
      <alignment horizontal="center" vertical="center"/>
    </xf>
    <xf numFmtId="9" fontId="4" fillId="0" borderId="0" xfId="0" applyNumberFormat="1" applyFont="1" applyBorder="1" applyAlignment="1">
      <alignment horizontal="center" vertical="center"/>
    </xf>
    <xf numFmtId="43" fontId="4" fillId="0" borderId="0" xfId="1" applyFont="1" applyFill="1" applyBorder="1" applyAlignment="1">
      <alignment horizontal="center" vertical="center"/>
    </xf>
    <xf numFmtId="43" fontId="4" fillId="0" borderId="0" xfId="0" applyNumberFormat="1" applyFont="1" applyFill="1" applyBorder="1" applyAlignment="1">
      <alignment horizontal="center" vertical="center"/>
    </xf>
    <xf numFmtId="43" fontId="4" fillId="0" borderId="0" xfId="1" applyFont="1" applyBorder="1" applyAlignment="1">
      <alignment horizontal="center" vertical="center"/>
    </xf>
    <xf numFmtId="43" fontId="6" fillId="0" borderId="0" xfId="1" applyFont="1" applyBorder="1" applyAlignment="1">
      <alignment horizontal="center" vertical="center"/>
    </xf>
    <xf numFmtId="0" fontId="4" fillId="0" borderId="0" xfId="0" applyFont="1" applyAlignment="1">
      <alignment horizontal="center" vertical="center"/>
    </xf>
    <xf numFmtId="43" fontId="4" fillId="0" borderId="0" xfId="1" applyFont="1" applyAlignment="1">
      <alignment horizontal="center" vertical="center"/>
    </xf>
    <xf numFmtId="0" fontId="8" fillId="0" borderId="0" xfId="0" applyFont="1" applyAlignment="1">
      <alignment horizontal="center" vertical="center"/>
    </xf>
    <xf numFmtId="43" fontId="8" fillId="0" borderId="0" xfId="1" applyFont="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43" fontId="8" fillId="0" borderId="0" xfId="1" applyNumberFormat="1" applyFont="1" applyAlignment="1">
      <alignment horizontal="center" vertical="center"/>
    </xf>
    <xf numFmtId="0" fontId="10" fillId="0" borderId="0" xfId="0" applyFont="1" applyFill="1" applyAlignment="1">
      <alignment horizontal="center" vertical="center" wrapText="1"/>
    </xf>
    <xf numFmtId="43" fontId="4" fillId="0" borderId="0" xfId="0" applyNumberFormat="1" applyFont="1" applyBorder="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43" fontId="11" fillId="0" borderId="0" xfId="0" applyNumberFormat="1" applyFont="1" applyAlignment="1">
      <alignment horizontal="center" vertical="center"/>
    </xf>
    <xf numFmtId="9" fontId="8" fillId="0" borderId="0" xfId="2" applyFont="1" applyAlignment="1">
      <alignment horizontal="center" vertical="center"/>
    </xf>
    <xf numFmtId="43" fontId="8" fillId="0" borderId="0" xfId="1"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xf numFmtId="0" fontId="12" fillId="0" borderId="0" xfId="0" applyFont="1" applyAlignment="1">
      <alignment horizontal="center" vertical="center" wrapText="1"/>
    </xf>
    <xf numFmtId="0" fontId="0" fillId="0" borderId="0" xfId="0"/>
    <xf numFmtId="9" fontId="4" fillId="0" borderId="0" xfId="2" applyFont="1" applyFill="1" applyBorder="1" applyAlignment="1">
      <alignment horizontal="center" vertical="center"/>
    </xf>
    <xf numFmtId="165" fontId="4" fillId="0" borderId="0" xfId="2" applyNumberFormat="1" applyFont="1" applyFill="1" applyBorder="1" applyAlignment="1">
      <alignment horizontal="center" vertical="center"/>
    </xf>
    <xf numFmtId="43" fontId="8"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xf>
    <xf numFmtId="0" fontId="5" fillId="0" borderId="0" xfId="0" applyNumberFormat="1" applyFont="1" applyFill="1" applyBorder="1" applyAlignment="1">
      <alignment horizontal="center" vertical="center"/>
    </xf>
    <xf numFmtId="0" fontId="4" fillId="0" borderId="0" xfId="0" applyFont="1" applyAlignment="1">
      <alignment horizontal="center" vertical="center" wrapText="1"/>
    </xf>
    <xf numFmtId="44" fontId="14" fillId="0" borderId="0" xfId="0" applyNumberFormat="1" applyFont="1" applyBorder="1" applyAlignment="1">
      <alignment horizontal="center" vertical="center"/>
    </xf>
    <xf numFmtId="0" fontId="0" fillId="2" borderId="0" xfId="0" applyFill="1"/>
    <xf numFmtId="0" fontId="0" fillId="3" borderId="1" xfId="0" applyFill="1" applyBorder="1"/>
    <xf numFmtId="0" fontId="0" fillId="3" borderId="0" xfId="0" applyFill="1"/>
    <xf numFmtId="0" fontId="0" fillId="3" borderId="2" xfId="0" applyFill="1" applyBorder="1"/>
    <xf numFmtId="0" fontId="18" fillId="2" borderId="0" xfId="0" applyFont="1" applyFill="1"/>
    <xf numFmtId="0" fontId="18" fillId="3" borderId="1" xfId="0" applyFont="1" applyFill="1" applyBorder="1"/>
    <xf numFmtId="0" fontId="18" fillId="3" borderId="0" xfId="0" applyFont="1" applyFill="1"/>
    <xf numFmtId="0" fontId="18" fillId="3" borderId="2" xfId="0" applyFont="1" applyFill="1" applyBorder="1"/>
    <xf numFmtId="0" fontId="20" fillId="4" borderId="0" xfId="0" applyFont="1" applyFill="1"/>
    <xf numFmtId="0" fontId="22" fillId="3" borderId="0" xfId="0" applyFont="1" applyFill="1" applyAlignment="1">
      <alignment horizontal="left" vertical="center"/>
    </xf>
    <xf numFmtId="0" fontId="22" fillId="3" borderId="2" xfId="0" applyFont="1" applyFill="1" applyBorder="1" applyAlignment="1">
      <alignment horizontal="left" vertical="center"/>
    </xf>
    <xf numFmtId="0" fontId="22" fillId="3" borderId="2" xfId="0" quotePrefix="1" applyFont="1" applyFill="1" applyBorder="1" applyAlignment="1">
      <alignment horizontal="left" vertical="center" wrapText="1" indent="4"/>
    </xf>
    <xf numFmtId="0" fontId="22" fillId="3" borderId="2" xfId="0" applyFont="1" applyFill="1" applyBorder="1" applyAlignment="1">
      <alignment horizontal="left" vertical="center" wrapText="1" indent="4"/>
    </xf>
    <xf numFmtId="0" fontId="22" fillId="3" borderId="0" xfId="0" quotePrefix="1" applyFont="1" applyFill="1" applyAlignment="1">
      <alignment horizontal="left" vertical="center" indent="2"/>
    </xf>
    <xf numFmtId="0" fontId="22" fillId="3" borderId="0" xfId="0" applyFont="1" applyFill="1" applyAlignment="1">
      <alignment horizontal="left" vertical="center" indent="4"/>
    </xf>
    <xf numFmtId="0" fontId="27" fillId="4" borderId="0" xfId="0" applyFont="1" applyFill="1" applyAlignment="1">
      <alignment horizontal="left" vertical="center"/>
    </xf>
    <xf numFmtId="0" fontId="28" fillId="0" borderId="0" xfId="0" applyFont="1" applyAlignment="1">
      <alignment vertical="top" wrapText="1"/>
    </xf>
    <xf numFmtId="0" fontId="22" fillId="3" borderId="0" xfId="0" quotePrefix="1" applyFont="1" applyFill="1" applyAlignment="1">
      <alignment vertical="center" wrapText="1"/>
    </xf>
    <xf numFmtId="0" fontId="19" fillId="5" borderId="0" xfId="0" applyFont="1" applyFill="1" applyBorder="1"/>
    <xf numFmtId="0" fontId="29" fillId="6" borderId="1" xfId="0" applyFont="1" applyFill="1" applyBorder="1"/>
    <xf numFmtId="0" fontId="29" fillId="6" borderId="2" xfId="0" applyFont="1" applyFill="1" applyBorder="1"/>
    <xf numFmtId="0" fontId="30" fillId="6" borderId="2" xfId="0" applyFont="1" applyFill="1" applyBorder="1" applyAlignment="1">
      <alignment horizontal="left" vertical="center"/>
    </xf>
    <xf numFmtId="0" fontId="18" fillId="5" borderId="1" xfId="0" applyFont="1" applyFill="1" applyBorder="1"/>
    <xf numFmtId="0" fontId="19" fillId="5" borderId="0" xfId="0" applyFont="1" applyFill="1"/>
    <xf numFmtId="0" fontId="19" fillId="5" borderId="2" xfId="0" applyFont="1" applyFill="1" applyBorder="1"/>
    <xf numFmtId="0" fontId="23" fillId="5" borderId="0" xfId="0" applyFont="1" applyFill="1" applyAlignment="1">
      <alignment horizontal="left" vertical="center"/>
    </xf>
    <xf numFmtId="0" fontId="23" fillId="5" borderId="2" xfId="0" applyFont="1" applyFill="1" applyBorder="1" applyAlignment="1">
      <alignment horizontal="left" vertical="center"/>
    </xf>
    <xf numFmtId="0" fontId="23" fillId="5" borderId="2" xfId="0" applyFont="1" applyFill="1" applyBorder="1" applyAlignment="1">
      <alignment horizontal="left" vertical="center" wrapText="1" indent="4"/>
    </xf>
    <xf numFmtId="0" fontId="23" fillId="5" borderId="2" xfId="0" quotePrefix="1" applyFont="1" applyFill="1" applyBorder="1" applyAlignment="1">
      <alignment horizontal="left" vertical="center" wrapText="1" indent="4"/>
    </xf>
    <xf numFmtId="0" fontId="0" fillId="5" borderId="0" xfId="0" applyFill="1"/>
    <xf numFmtId="0" fontId="20" fillId="5" borderId="0" xfId="0" applyFont="1" applyFill="1"/>
    <xf numFmtId="0" fontId="23" fillId="5" borderId="0" xfId="0" quotePrefix="1" applyFont="1" applyFill="1" applyAlignment="1">
      <alignment vertical="center" wrapText="1"/>
    </xf>
    <xf numFmtId="0" fontId="23" fillId="5" borderId="0" xfId="0" applyFont="1" applyFill="1" applyAlignment="1">
      <alignment vertical="center"/>
    </xf>
    <xf numFmtId="0" fontId="23" fillId="5" borderId="0" xfId="0" quotePrefix="1" applyFont="1" applyFill="1" applyAlignment="1">
      <alignment vertical="center"/>
    </xf>
    <xf numFmtId="0" fontId="27" fillId="5" borderId="0" xfId="0" applyFont="1" applyFill="1" applyAlignment="1">
      <alignment horizontal="left" vertical="center"/>
    </xf>
    <xf numFmtId="0" fontId="15" fillId="5" borderId="0" xfId="0" applyFont="1" applyFill="1" applyAlignment="1">
      <alignment horizontal="left" vertical="center"/>
    </xf>
    <xf numFmtId="0" fontId="0" fillId="7" borderId="0" xfId="0" applyFill="1"/>
    <xf numFmtId="0" fontId="22" fillId="3" borderId="0" xfId="0" quotePrefix="1" applyFont="1" applyFill="1" applyAlignment="1">
      <alignment horizontal="left" vertical="center" wrapText="1" indent="4"/>
    </xf>
    <xf numFmtId="0" fontId="22" fillId="3" borderId="0" xfId="0" applyFont="1" applyFill="1" applyAlignment="1">
      <alignment horizontal="left" vertical="center" wrapText="1" indent="4"/>
    </xf>
    <xf numFmtId="0" fontId="31" fillId="5" borderId="0" xfId="0" quotePrefix="1" applyFont="1" applyFill="1" applyAlignment="1">
      <alignment horizontal="left" vertical="center" indent="2"/>
    </xf>
    <xf numFmtId="0" fontId="8" fillId="5" borderId="0" xfId="0" applyFont="1" applyFill="1" applyAlignment="1">
      <alignment horizontal="left" vertical="center"/>
    </xf>
    <xf numFmtId="0" fontId="8" fillId="5" borderId="0" xfId="0" applyFont="1" applyFill="1" applyAlignment="1">
      <alignment horizontal="left" vertical="center" indent="4"/>
    </xf>
    <xf numFmtId="0" fontId="32" fillId="5" borderId="0" xfId="0" applyFont="1" applyFill="1"/>
    <xf numFmtId="0" fontId="22" fillId="3" borderId="0" xfId="0" quotePrefix="1" applyFont="1" applyFill="1" applyAlignment="1">
      <alignment horizontal="left" vertical="center" wrapText="1" indent="4"/>
    </xf>
    <xf numFmtId="1" fontId="4" fillId="0" borderId="0" xfId="0" applyNumberFormat="1" applyFont="1" applyFill="1" applyBorder="1" applyAlignment="1">
      <alignment horizontal="center" vertical="center"/>
    </xf>
    <xf numFmtId="1" fontId="33"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21" fillId="3" borderId="0" xfId="0" quotePrefix="1" applyFont="1" applyFill="1" applyAlignment="1">
      <alignment vertical="center"/>
    </xf>
    <xf numFmtId="0" fontId="22" fillId="3" borderId="0" xfId="0" quotePrefix="1" applyFont="1" applyFill="1" applyAlignment="1">
      <alignment horizontal="left" vertical="center" wrapText="1" indent="4"/>
    </xf>
    <xf numFmtId="0" fontId="21" fillId="3" borderId="0" xfId="0" quotePrefix="1" applyFont="1" applyFill="1" applyAlignment="1">
      <alignment horizontal="left" vertical="center"/>
    </xf>
    <xf numFmtId="0" fontId="22" fillId="3" borderId="0" xfId="0" quotePrefix="1" applyFont="1" applyFill="1" applyAlignment="1">
      <alignment horizontal="left" vertical="center"/>
    </xf>
    <xf numFmtId="0" fontId="34" fillId="3" borderId="0" xfId="0" quotePrefix="1" applyFont="1" applyFill="1" applyAlignment="1">
      <alignment horizontal="left" vertical="center"/>
    </xf>
    <xf numFmtId="0" fontId="34" fillId="3" borderId="0" xfId="0" quotePrefix="1" applyFont="1" applyFill="1" applyAlignment="1">
      <alignment vertical="center"/>
    </xf>
    <xf numFmtId="0" fontId="34" fillId="3" borderId="0" xfId="0" applyFont="1" applyFill="1" applyAlignment="1">
      <alignment horizontal="left"/>
    </xf>
    <xf numFmtId="0" fontId="36" fillId="5" borderId="0" xfId="0" quotePrefix="1" applyFont="1" applyFill="1" applyAlignment="1">
      <alignment horizontal="left" vertical="center"/>
    </xf>
    <xf numFmtId="0" fontId="22" fillId="3" borderId="0" xfId="0" quotePrefix="1" applyFont="1" applyFill="1" applyAlignment="1">
      <alignment vertical="center" wrapText="1"/>
    </xf>
    <xf numFmtId="0" fontId="22" fillId="3" borderId="0" xfId="0" quotePrefix="1" applyFont="1" applyFill="1" applyAlignment="1">
      <alignment vertical="center" wrapText="1"/>
    </xf>
    <xf numFmtId="0" fontId="22" fillId="3" borderId="0" xfId="0" quotePrefix="1" applyFont="1" applyFill="1" applyAlignment="1">
      <alignment vertical="center" wrapText="1"/>
    </xf>
    <xf numFmtId="0" fontId="8" fillId="5" borderId="0" xfId="0" quotePrefix="1" applyFont="1" applyFill="1" applyAlignment="1">
      <alignment vertical="center" wrapText="1"/>
    </xf>
    <xf numFmtId="43" fontId="38" fillId="0" borderId="0" xfId="1" applyFont="1" applyBorder="1" applyAlignment="1">
      <alignment horizontal="center" vertical="center"/>
    </xf>
    <xf numFmtId="0" fontId="38" fillId="0" borderId="0" xfId="0" applyFont="1" applyFill="1" applyBorder="1" applyAlignment="1">
      <alignment horizontal="center" vertical="center"/>
    </xf>
    <xf numFmtId="0" fontId="38" fillId="0" borderId="0" xfId="0" applyFont="1" applyFill="1" applyBorder="1" applyAlignment="1">
      <alignment horizontal="center" vertical="center" wrapText="1"/>
    </xf>
    <xf numFmtId="43" fontId="8" fillId="0" borderId="0" xfId="1" applyFont="1" applyAlignment="1">
      <alignment horizontal="center" vertical="center" wrapText="1"/>
    </xf>
    <xf numFmtId="9" fontId="8" fillId="0" borderId="0" xfId="2" applyFont="1" applyAlignment="1">
      <alignment horizontal="center" vertical="center" wrapText="1"/>
    </xf>
    <xf numFmtId="0" fontId="0" fillId="5" borderId="6" xfId="0" applyFill="1" applyBorder="1"/>
    <xf numFmtId="0" fontId="19" fillId="5" borderId="7" xfId="0" applyFont="1" applyFill="1" applyBorder="1"/>
    <xf numFmtId="0" fontId="26" fillId="5" borderId="7" xfId="0" applyFont="1" applyFill="1" applyBorder="1" applyAlignment="1">
      <alignment horizontal="left" vertical="top" wrapText="1"/>
    </xf>
    <xf numFmtId="0" fontId="0" fillId="5" borderId="8" xfId="0" applyFill="1" applyBorder="1"/>
    <xf numFmtId="0" fontId="26" fillId="5" borderId="10" xfId="0" applyFont="1" applyFill="1" applyBorder="1" applyAlignment="1">
      <alignment horizontal="left" vertical="top" wrapText="1"/>
    </xf>
    <xf numFmtId="43" fontId="38" fillId="0" borderId="0" xfId="0" applyNumberFormat="1" applyFont="1" applyFill="1" applyBorder="1" applyAlignment="1">
      <alignment horizontal="center" vertical="center"/>
    </xf>
    <xf numFmtId="43" fontId="39" fillId="0" borderId="0" xfId="0" applyNumberFormat="1" applyFont="1" applyFill="1" applyBorder="1" applyAlignment="1">
      <alignment horizontal="center" vertical="center"/>
    </xf>
    <xf numFmtId="0" fontId="3" fillId="0" borderId="0" xfId="0" applyFont="1" applyAlignment="1">
      <alignment horizontal="left" vertical="center"/>
    </xf>
    <xf numFmtId="0" fontId="40" fillId="0" borderId="0" xfId="0" applyFont="1" applyAlignment="1">
      <alignment horizontal="center" vertical="center"/>
    </xf>
    <xf numFmtId="43" fontId="40" fillId="0" borderId="0" xfId="1" applyFont="1" applyBorder="1" applyAlignment="1">
      <alignment horizontal="center" vertical="center"/>
    </xf>
    <xf numFmtId="164" fontId="40" fillId="0" borderId="0" xfId="1" applyNumberFormat="1" applyFont="1" applyBorder="1" applyAlignment="1">
      <alignment horizontal="center" vertical="center"/>
    </xf>
    <xf numFmtId="9" fontId="40" fillId="0" borderId="0" xfId="2" applyFont="1" applyAlignment="1">
      <alignment horizontal="center" vertical="center"/>
    </xf>
    <xf numFmtId="43" fontId="4" fillId="0" borderId="0" xfId="1" applyFont="1" applyFill="1" applyBorder="1" applyAlignment="1">
      <alignment horizontal="center" vertical="center" wrapText="1"/>
    </xf>
    <xf numFmtId="0" fontId="7" fillId="0" borderId="0" xfId="0" applyFont="1" applyAlignment="1">
      <alignment vertical="center"/>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vertical="center"/>
    </xf>
    <xf numFmtId="4" fontId="4" fillId="0" borderId="0" xfId="0" applyNumberFormat="1" applyFont="1" applyFill="1" applyBorder="1" applyAlignment="1">
      <alignment horizontal="center" vertical="center"/>
    </xf>
    <xf numFmtId="4" fontId="3" fillId="0" borderId="0" xfId="0" applyNumberFormat="1" applyFont="1" applyAlignment="1">
      <alignment horizontal="center" vertical="center"/>
    </xf>
    <xf numFmtId="43" fontId="5" fillId="0" borderId="0" xfId="1" applyFont="1" applyBorder="1" applyAlignment="1">
      <alignment horizontal="center" vertical="center" wrapText="1"/>
    </xf>
    <xf numFmtId="43" fontId="3" fillId="0" borderId="0" xfId="1" applyFont="1" applyAlignment="1">
      <alignment horizontal="center" vertical="center"/>
    </xf>
    <xf numFmtId="4" fontId="3" fillId="0" borderId="0" xfId="0" applyNumberFormat="1" applyFont="1" applyAlignment="1">
      <alignment horizontal="right" vertical="center"/>
    </xf>
    <xf numFmtId="4" fontId="4" fillId="0" borderId="0" xfId="0" applyNumberFormat="1" applyFont="1" applyBorder="1" applyAlignment="1">
      <alignment horizontal="right" vertical="center"/>
    </xf>
    <xf numFmtId="4" fontId="3" fillId="0" borderId="0" xfId="0" applyNumberFormat="1" applyFont="1" applyAlignment="1">
      <alignment vertical="center" wrapText="1"/>
    </xf>
    <xf numFmtId="4" fontId="4" fillId="0" borderId="0" xfId="0" applyNumberFormat="1" applyFont="1" applyAlignment="1">
      <alignment horizontal="center" vertical="center"/>
    </xf>
    <xf numFmtId="43" fontId="38" fillId="0" borderId="0" xfId="1" applyFont="1" applyFill="1" applyBorder="1" applyAlignment="1">
      <alignment horizontal="center" vertical="center"/>
    </xf>
    <xf numFmtId="43" fontId="4" fillId="0" borderId="0" xfId="0" applyNumberFormat="1" applyFont="1" applyAlignment="1">
      <alignment horizontal="center" vertical="center"/>
    </xf>
    <xf numFmtId="0" fontId="4" fillId="0" borderId="0" xfId="0" applyFont="1" applyFill="1" applyAlignment="1">
      <alignment horizontal="center" vertical="center"/>
    </xf>
    <xf numFmtId="4" fontId="4" fillId="0" borderId="0" xfId="0" applyNumberFormat="1" applyFont="1" applyBorder="1" applyAlignment="1">
      <alignment horizontal="center" vertical="center"/>
    </xf>
    <xf numFmtId="0" fontId="5" fillId="0" borderId="11" xfId="0" applyFont="1" applyBorder="1" applyAlignment="1">
      <alignment horizontal="center" vertical="center" wrapText="1"/>
    </xf>
    <xf numFmtId="0" fontId="4" fillId="0" borderId="11" xfId="0" applyFont="1" applyFill="1" applyBorder="1" applyAlignment="1">
      <alignment horizontal="center" vertical="center" wrapText="1"/>
    </xf>
    <xf numFmtId="166" fontId="4" fillId="0" borderId="0" xfId="0" applyNumberFormat="1" applyFont="1" applyFill="1" applyBorder="1" applyAlignment="1">
      <alignment horizontal="center" vertical="center"/>
    </xf>
    <xf numFmtId="43" fontId="5" fillId="0" borderId="0" xfId="0" applyNumberFormat="1" applyFont="1" applyFill="1" applyBorder="1" applyAlignment="1">
      <alignment horizontal="center" vertical="center"/>
    </xf>
    <xf numFmtId="0" fontId="4" fillId="0" borderId="11" xfId="0" applyFont="1" applyFill="1" applyBorder="1" applyAlignment="1">
      <alignment horizontal="center" vertical="center"/>
    </xf>
    <xf numFmtId="49" fontId="4" fillId="0" borderId="11" xfId="0" applyNumberFormat="1" applyFont="1" applyFill="1" applyBorder="1" applyAlignment="1">
      <alignment horizontal="center" vertical="center"/>
    </xf>
    <xf numFmtId="43" fontId="4" fillId="0" borderId="11" xfId="1" applyFont="1" applyFill="1" applyBorder="1" applyAlignment="1">
      <alignment horizontal="center" vertical="center"/>
    </xf>
    <xf numFmtId="43" fontId="4" fillId="0" borderId="11" xfId="0" applyNumberFormat="1"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43" fontId="4" fillId="0" borderId="14" xfId="1" applyFont="1" applyFill="1" applyBorder="1" applyAlignment="1">
      <alignment horizontal="center" vertical="center"/>
    </xf>
    <xf numFmtId="0" fontId="4" fillId="0" borderId="13" xfId="0" applyFont="1" applyFill="1" applyBorder="1" applyAlignment="1">
      <alignment horizontal="center" vertical="center"/>
    </xf>
    <xf numFmtId="43" fontId="4" fillId="0" borderId="13" xfId="1" applyFont="1" applyFill="1" applyBorder="1" applyAlignment="1">
      <alignment horizontal="center" vertical="center"/>
    </xf>
    <xf numFmtId="43" fontId="4" fillId="0" borderId="13" xfId="0" applyNumberFormat="1" applyFont="1" applyFill="1" applyBorder="1" applyAlignment="1">
      <alignment horizontal="center" vertical="center"/>
    </xf>
    <xf numFmtId="43" fontId="5" fillId="0" borderId="11" xfId="1" applyFont="1" applyFill="1" applyBorder="1" applyAlignment="1">
      <alignment horizontal="center" vertical="center" wrapText="1"/>
    </xf>
    <xf numFmtId="0" fontId="7" fillId="0" borderId="0" xfId="0" applyFont="1" applyFill="1" applyBorder="1" applyAlignment="1">
      <alignment vertical="center"/>
    </xf>
    <xf numFmtId="0" fontId="9" fillId="0" borderId="13" xfId="0" applyFont="1" applyFill="1" applyBorder="1" applyAlignment="1" applyProtection="1">
      <alignment horizontal="left" vertical="center"/>
    </xf>
    <xf numFmtId="0" fontId="9" fillId="0" borderId="13" xfId="0" applyFont="1" applyFill="1" applyBorder="1" applyAlignment="1" applyProtection="1">
      <alignment horizontal="left" vertical="center" wrapText="1"/>
    </xf>
    <xf numFmtId="0" fontId="4" fillId="0" borderId="0" xfId="0" applyNumberFormat="1" applyFont="1" applyFill="1" applyAlignment="1">
      <alignment horizontal="center" vertical="center" wrapText="1"/>
    </xf>
    <xf numFmtId="0" fontId="0" fillId="0" borderId="0" xfId="0" applyBorder="1"/>
    <xf numFmtId="164" fontId="8" fillId="0" borderId="0" xfId="1" applyNumberFormat="1" applyFont="1" applyAlignment="1">
      <alignment horizontal="center" vertical="center"/>
    </xf>
    <xf numFmtId="0" fontId="7" fillId="0" borderId="0" xfId="0" applyFont="1" applyAlignment="1">
      <alignment horizontal="center" vertical="center"/>
    </xf>
    <xf numFmtId="43" fontId="43" fillId="0" borderId="0" xfId="0" applyNumberFormat="1" applyFont="1" applyAlignment="1">
      <alignment horizontal="center" vertical="center"/>
    </xf>
    <xf numFmtId="43" fontId="4" fillId="0" borderId="14" xfId="1" applyFont="1" applyFill="1" applyBorder="1" applyAlignment="1" applyProtection="1">
      <alignment horizontal="center" vertical="center"/>
      <protection locked="0"/>
    </xf>
    <xf numFmtId="43" fontId="4" fillId="0" borderId="13" xfId="1"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4" fontId="4" fillId="0" borderId="0" xfId="1" applyNumberFormat="1" applyFont="1" applyBorder="1" applyAlignment="1" applyProtection="1">
      <alignment horizontal="right" vertical="center"/>
      <protection locked="0"/>
    </xf>
    <xf numFmtId="43" fontId="4" fillId="0" borderId="0" xfId="1" applyFont="1" applyBorder="1" applyAlignment="1" applyProtection="1">
      <alignment horizontal="center" vertical="center"/>
      <protection locked="0"/>
    </xf>
    <xf numFmtId="4" fontId="4" fillId="0" borderId="0" xfId="1" applyNumberFormat="1" applyFont="1" applyAlignment="1" applyProtection="1">
      <alignment horizontal="center" vertical="center"/>
      <protection locked="0"/>
    </xf>
    <xf numFmtId="4" fontId="4" fillId="0" borderId="0" xfId="1" applyNumberFormat="1" applyFont="1" applyBorder="1" applyAlignment="1" applyProtection="1">
      <alignment horizontal="center" vertical="center"/>
      <protection locked="0"/>
    </xf>
    <xf numFmtId="4" fontId="5" fillId="0" borderId="0" xfId="0" applyNumberFormat="1" applyFont="1" applyFill="1" applyBorder="1" applyAlignment="1" applyProtection="1">
      <alignment horizontal="center" vertical="center"/>
      <protection locked="0"/>
    </xf>
    <xf numFmtId="4" fontId="4" fillId="0" borderId="0" xfId="1" applyNumberFormat="1" applyFont="1" applyFill="1" applyAlignment="1" applyProtection="1">
      <alignment horizontal="center" vertical="center"/>
      <protection locked="0"/>
    </xf>
    <xf numFmtId="43" fontId="4" fillId="0" borderId="0" xfId="1" applyFont="1" applyFill="1" applyBorder="1" applyAlignment="1" applyProtection="1">
      <alignment horizontal="center" vertical="center"/>
      <protection locked="0"/>
    </xf>
    <xf numFmtId="43" fontId="5" fillId="9" borderId="0" xfId="1" applyFont="1" applyFill="1" applyBorder="1" applyAlignment="1" applyProtection="1">
      <alignment horizontal="center" vertical="center" wrapText="1"/>
      <protection locked="0"/>
    </xf>
    <xf numFmtId="0" fontId="5" fillId="9" borderId="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5" fillId="9" borderId="11" xfId="0" applyFont="1" applyFill="1" applyBorder="1" applyAlignment="1" applyProtection="1">
      <alignment horizontal="center" vertical="center" wrapText="1"/>
      <protection locked="0"/>
    </xf>
    <xf numFmtId="43" fontId="5" fillId="9" borderId="11" xfId="1" applyFont="1" applyFill="1" applyBorder="1" applyAlignment="1" applyProtection="1">
      <alignment horizontal="center" vertical="center" wrapText="1"/>
      <protection locked="0"/>
    </xf>
    <xf numFmtId="4" fontId="5" fillId="9" borderId="0" xfId="0" applyNumberFormat="1" applyFont="1" applyFill="1" applyBorder="1" applyAlignment="1" applyProtection="1">
      <alignment horizontal="center" vertical="center" wrapText="1"/>
      <protection locked="0"/>
    </xf>
    <xf numFmtId="0" fontId="5" fillId="9" borderId="0" xfId="0" applyFont="1" applyFill="1" applyBorder="1" applyAlignment="1">
      <alignment horizontal="center" vertical="center" wrapText="1"/>
    </xf>
    <xf numFmtId="4" fontId="5" fillId="9" borderId="0" xfId="0" applyNumberFormat="1" applyFont="1" applyFill="1" applyBorder="1" applyAlignment="1">
      <alignment horizontal="center" vertical="center" wrapText="1"/>
    </xf>
    <xf numFmtId="0" fontId="5" fillId="9" borderId="11" xfId="0" applyFont="1" applyFill="1" applyBorder="1" applyAlignment="1">
      <alignment horizontal="center" vertical="center" wrapText="1"/>
    </xf>
    <xf numFmtId="0" fontId="4" fillId="9" borderId="0" xfId="0" applyFont="1" applyFill="1" applyBorder="1" applyAlignment="1">
      <alignment horizontal="center" vertical="center" wrapText="1"/>
    </xf>
    <xf numFmtId="43" fontId="5" fillId="9" borderId="0" xfId="1" applyFont="1" applyFill="1" applyBorder="1" applyAlignment="1">
      <alignment horizontal="center" vertical="center" wrapText="1"/>
    </xf>
    <xf numFmtId="0" fontId="34" fillId="3" borderId="0" xfId="0" applyFont="1" applyFill="1"/>
    <xf numFmtId="0" fontId="22" fillId="3" borderId="0" xfId="0" quotePrefix="1" applyFont="1" applyFill="1" applyBorder="1" applyAlignment="1">
      <alignment vertical="center" wrapText="1"/>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wrapText="1"/>
    </xf>
    <xf numFmtId="0" fontId="41" fillId="0" borderId="13" xfId="0" applyFont="1" applyFill="1" applyBorder="1" applyAlignment="1" applyProtection="1">
      <alignment horizontal="justify" vertical="center" wrapText="1"/>
    </xf>
    <xf numFmtId="43" fontId="4" fillId="0" borderId="13" xfId="1" applyFont="1" applyFill="1" applyBorder="1" applyAlignment="1" applyProtection="1">
      <alignment horizontal="center" vertical="center"/>
    </xf>
    <xf numFmtId="0" fontId="9" fillId="0" borderId="22" xfId="0" applyFont="1" applyFill="1" applyBorder="1" applyAlignment="1" applyProtection="1">
      <alignment horizontal="left" vertical="center"/>
    </xf>
    <xf numFmtId="43" fontId="4" fillId="0" borderId="22" xfId="1" applyFont="1" applyFill="1" applyBorder="1" applyAlignment="1" applyProtection="1">
      <alignment horizontal="center" vertical="center"/>
      <protection locked="0"/>
    </xf>
    <xf numFmtId="43" fontId="4" fillId="0" borderId="22" xfId="1" applyFont="1" applyFill="1" applyBorder="1" applyAlignment="1" applyProtection="1">
      <alignment horizontal="center" vertical="center"/>
    </xf>
    <xf numFmtId="0" fontId="4"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43" fontId="4" fillId="0" borderId="11" xfId="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protection locked="0"/>
    </xf>
    <xf numFmtId="43" fontId="4" fillId="0" borderId="16" xfId="1" applyFont="1" applyFill="1" applyBorder="1" applyAlignment="1">
      <alignment horizontal="center" vertical="center"/>
    </xf>
    <xf numFmtId="43" fontId="4" fillId="0" borderId="16" xfId="1"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43" fontId="4" fillId="0" borderId="12" xfId="1" applyFont="1" applyFill="1" applyBorder="1" applyAlignment="1">
      <alignment horizontal="center" vertical="center"/>
    </xf>
    <xf numFmtId="43" fontId="4" fillId="0" borderId="12" xfId="1" applyFont="1" applyFill="1" applyBorder="1" applyAlignment="1" applyProtection="1">
      <alignment horizontal="center" vertical="center"/>
      <protection locked="0"/>
    </xf>
    <xf numFmtId="43" fontId="4" fillId="8" borderId="14" xfId="1" applyFont="1" applyFill="1" applyBorder="1" applyAlignment="1">
      <alignment horizontal="center" vertical="center"/>
    </xf>
    <xf numFmtId="43" fontId="4" fillId="8" borderId="13" xfId="1" applyFont="1" applyFill="1" applyBorder="1" applyAlignment="1">
      <alignment horizontal="center" vertical="center"/>
    </xf>
    <xf numFmtId="0" fontId="4" fillId="8" borderId="14" xfId="0" applyFont="1" applyFill="1" applyBorder="1" applyAlignment="1" applyProtection="1">
      <alignment horizontal="center" vertical="center" wrapText="1"/>
      <protection locked="0"/>
    </xf>
    <xf numFmtId="0" fontId="4" fillId="8" borderId="14" xfId="0" applyFont="1" applyFill="1" applyBorder="1" applyAlignment="1" applyProtection="1">
      <alignment horizontal="center" vertical="center"/>
      <protection locked="0"/>
    </xf>
    <xf numFmtId="43" fontId="4" fillId="8" borderId="14" xfId="1" applyFont="1" applyFill="1" applyBorder="1" applyAlignment="1" applyProtection="1">
      <alignment horizontal="center" vertical="center"/>
      <protection locked="0"/>
    </xf>
    <xf numFmtId="43" fontId="4" fillId="8" borderId="14" xfId="0" applyNumberFormat="1" applyFont="1" applyFill="1" applyBorder="1" applyAlignment="1">
      <alignment horizontal="center" vertical="center"/>
    </xf>
    <xf numFmtId="0" fontId="4" fillId="8" borderId="13" xfId="0" applyFont="1" applyFill="1" applyBorder="1" applyAlignment="1" applyProtection="1">
      <alignment horizontal="center" vertical="center" wrapText="1"/>
      <protection locked="0"/>
    </xf>
    <xf numFmtId="0" fontId="4" fillId="8" borderId="13" xfId="0" applyFont="1" applyFill="1" applyBorder="1" applyAlignment="1" applyProtection="1">
      <alignment horizontal="center" vertical="center"/>
      <protection locked="0"/>
    </xf>
    <xf numFmtId="43" fontId="4" fillId="8" borderId="13" xfId="1" applyFont="1" applyFill="1" applyBorder="1" applyAlignment="1" applyProtection="1">
      <alignment horizontal="center" vertical="center"/>
      <protection locked="0"/>
    </xf>
    <xf numFmtId="43" fontId="4" fillId="8" borderId="13" xfId="0" applyNumberFormat="1" applyFont="1" applyFill="1" applyBorder="1" applyAlignment="1">
      <alignment horizontal="center" vertical="center"/>
    </xf>
    <xf numFmtId="0" fontId="4" fillId="8" borderId="15" xfId="0"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protection locked="0"/>
    </xf>
    <xf numFmtId="43" fontId="4" fillId="8" borderId="15" xfId="1" applyFont="1" applyFill="1" applyBorder="1" applyAlignment="1" applyProtection="1">
      <alignment horizontal="center" vertical="center"/>
      <protection locked="0"/>
    </xf>
    <xf numFmtId="43" fontId="4" fillId="8" borderId="15" xfId="1" applyFont="1" applyFill="1" applyBorder="1" applyAlignment="1">
      <alignment horizontal="center" vertical="center"/>
    </xf>
    <xf numFmtId="43" fontId="4" fillId="8" borderId="15" xfId="0" applyNumberFormat="1" applyFont="1" applyFill="1" applyBorder="1" applyAlignment="1">
      <alignment horizontal="center" vertical="center"/>
    </xf>
    <xf numFmtId="0" fontId="4" fillId="8" borderId="20" xfId="0" applyFont="1" applyFill="1" applyBorder="1" applyAlignment="1" applyProtection="1">
      <alignment horizontal="center" vertical="center" wrapText="1"/>
    </xf>
    <xf numFmtId="0" fontId="41" fillId="8" borderId="17" xfId="0" applyFont="1" applyFill="1" applyBorder="1" applyAlignment="1" applyProtection="1">
      <alignment horizontal="justify" vertical="center" wrapText="1"/>
    </xf>
    <xf numFmtId="43" fontId="4" fillId="8" borderId="17" xfId="1" applyFont="1" applyFill="1" applyBorder="1" applyAlignment="1" applyProtection="1">
      <alignment horizontal="center" vertical="center"/>
      <protection locked="0"/>
    </xf>
    <xf numFmtId="43" fontId="4" fillId="8" borderId="17" xfId="1" applyFont="1" applyFill="1" applyBorder="1" applyAlignment="1" applyProtection="1">
      <alignment horizontal="center" vertical="center"/>
    </xf>
    <xf numFmtId="0" fontId="4" fillId="8" borderId="21" xfId="0" applyFont="1" applyFill="1" applyBorder="1" applyAlignment="1" applyProtection="1">
      <alignment horizontal="center" vertical="center" wrapText="1"/>
    </xf>
    <xf numFmtId="0" fontId="41" fillId="8" borderId="13" xfId="0" applyFont="1" applyFill="1" applyBorder="1" applyAlignment="1" applyProtection="1">
      <alignment horizontal="justify" vertical="center" wrapText="1"/>
    </xf>
    <xf numFmtId="43" fontId="4" fillId="8" borderId="13" xfId="1" applyFont="1" applyFill="1" applyBorder="1" applyAlignment="1" applyProtection="1">
      <alignment horizontal="center" vertical="center"/>
    </xf>
    <xf numFmtId="0" fontId="9" fillId="8" borderId="13" xfId="0" applyFont="1" applyFill="1" applyBorder="1" applyAlignment="1" applyProtection="1">
      <alignment horizontal="left" vertical="center"/>
    </xf>
    <xf numFmtId="0" fontId="9" fillId="8" borderId="13" xfId="0" applyFont="1" applyFill="1" applyBorder="1" applyAlignment="1" applyProtection="1">
      <alignment horizontal="left" vertical="center" wrapText="1"/>
    </xf>
    <xf numFmtId="0" fontId="4" fillId="8" borderId="23" xfId="0" applyFont="1" applyFill="1" applyBorder="1" applyAlignment="1" applyProtection="1">
      <alignment horizontal="center" vertical="center" wrapText="1"/>
    </xf>
    <xf numFmtId="0" fontId="9" fillId="8" borderId="15" xfId="0" applyFont="1" applyFill="1" applyBorder="1" applyAlignment="1" applyProtection="1">
      <alignment horizontal="left" vertical="center" wrapText="1"/>
    </xf>
    <xf numFmtId="43" fontId="4" fillId="8" borderId="15" xfId="1" applyFont="1" applyFill="1" applyBorder="1" applyAlignment="1" applyProtection="1">
      <alignment horizontal="center" vertical="center"/>
    </xf>
    <xf numFmtId="4" fontId="4" fillId="8" borderId="0" xfId="1" applyNumberFormat="1" applyFont="1" applyFill="1" applyBorder="1" applyAlignment="1" applyProtection="1">
      <alignment horizontal="right" vertical="center"/>
      <protection locked="0"/>
    </xf>
    <xf numFmtId="43" fontId="4" fillId="8" borderId="0" xfId="1" applyFont="1" applyFill="1" applyBorder="1" applyAlignment="1">
      <alignment horizontal="center" vertical="center"/>
    </xf>
    <xf numFmtId="43" fontId="4" fillId="8" borderId="0" xfId="1" applyFont="1" applyFill="1" applyBorder="1" applyAlignment="1" applyProtection="1">
      <alignment horizontal="center" vertical="center"/>
      <protection locked="0"/>
    </xf>
    <xf numFmtId="4" fontId="4" fillId="8" borderId="0" xfId="1" applyNumberFormat="1" applyFont="1" applyFill="1" applyAlignment="1" applyProtection="1">
      <alignment horizontal="center" vertical="center"/>
      <protection locked="0"/>
    </xf>
    <xf numFmtId="4" fontId="4" fillId="8" borderId="0" xfId="1" applyNumberFormat="1" applyFont="1" applyFill="1" applyBorder="1" applyAlignment="1" applyProtection="1">
      <alignment horizontal="center" vertical="center"/>
      <protection locked="0"/>
    </xf>
    <xf numFmtId="43" fontId="4" fillId="8" borderId="0" xfId="1" applyFont="1" applyFill="1" applyAlignment="1">
      <alignment horizontal="center" vertical="center"/>
    </xf>
    <xf numFmtId="0" fontId="5" fillId="10" borderId="0" xfId="0" applyFont="1" applyFill="1" applyBorder="1" applyAlignment="1">
      <alignment horizontal="center" vertical="center"/>
    </xf>
    <xf numFmtId="0" fontId="5" fillId="10" borderId="0" xfId="0" applyFont="1" applyFill="1" applyBorder="1" applyAlignment="1">
      <alignment horizontal="center" vertical="center" wrapText="1"/>
    </xf>
    <xf numFmtId="4" fontId="4" fillId="10" borderId="0" xfId="1" applyNumberFormat="1" applyFont="1" applyFill="1" applyAlignment="1" applyProtection="1">
      <alignment horizontal="center" vertical="center"/>
      <protection locked="0"/>
    </xf>
    <xf numFmtId="43" fontId="4" fillId="10" borderId="0" xfId="1" applyFont="1" applyFill="1" applyBorder="1" applyAlignment="1">
      <alignment horizontal="center" vertical="center"/>
    </xf>
    <xf numFmtId="0" fontId="5" fillId="10" borderId="0" xfId="0" applyNumberFormat="1" applyFont="1" applyFill="1" applyBorder="1" applyAlignment="1">
      <alignment horizontal="center" vertical="center"/>
    </xf>
    <xf numFmtId="43" fontId="38" fillId="10" borderId="0" xfId="1" applyFont="1" applyFill="1" applyBorder="1" applyAlignment="1">
      <alignment horizontal="center" vertical="center"/>
    </xf>
    <xf numFmtId="0" fontId="4" fillId="10" borderId="0" xfId="0" applyFont="1" applyFill="1" applyBorder="1" applyAlignment="1">
      <alignment horizontal="center" vertical="center" wrapText="1"/>
    </xf>
    <xf numFmtId="0" fontId="4" fillId="10" borderId="0" xfId="0" applyNumberFormat="1" applyFont="1" applyFill="1" applyBorder="1" applyAlignment="1">
      <alignment horizontal="center" vertical="center"/>
    </xf>
    <xf numFmtId="43" fontId="38" fillId="8" borderId="0" xfId="1" applyFont="1" applyFill="1" applyBorder="1" applyAlignment="1">
      <alignment horizontal="center" vertical="center"/>
    </xf>
    <xf numFmtId="43" fontId="4" fillId="11" borderId="0" xfId="1" applyNumberFormat="1" applyFont="1" applyFill="1" applyBorder="1" applyAlignment="1" applyProtection="1">
      <alignment horizontal="center" vertical="center"/>
      <protection locked="0"/>
    </xf>
    <xf numFmtId="43" fontId="4" fillId="11" borderId="0" xfId="1" applyFont="1" applyFill="1" applyBorder="1" applyAlignment="1" applyProtection="1">
      <alignment horizontal="center" vertical="center"/>
      <protection locked="0"/>
    </xf>
    <xf numFmtId="43" fontId="4" fillId="11" borderId="0" xfId="1" applyNumberFormat="1" applyFont="1" applyFill="1" applyBorder="1" applyAlignment="1">
      <alignment horizontal="center" vertical="center"/>
    </xf>
    <xf numFmtId="0" fontId="4" fillId="8" borderId="0" xfId="0" applyFont="1" applyFill="1" applyBorder="1" applyAlignment="1">
      <alignment horizontal="center" vertical="center"/>
    </xf>
    <xf numFmtId="0" fontId="4" fillId="8" borderId="0" xfId="0" applyFont="1" applyFill="1" applyBorder="1" applyAlignment="1">
      <alignment horizontal="center" vertical="center" wrapText="1"/>
    </xf>
    <xf numFmtId="0" fontId="4" fillId="8" borderId="0" xfId="0" applyNumberFormat="1" applyFont="1" applyFill="1" applyBorder="1" applyAlignment="1">
      <alignment horizontal="center" vertical="center" wrapText="1"/>
    </xf>
    <xf numFmtId="0" fontId="10" fillId="8" borderId="0" xfId="0" applyFont="1" applyFill="1" applyAlignment="1">
      <alignment horizontal="center" vertical="center" wrapText="1"/>
    </xf>
    <xf numFmtId="0" fontId="4" fillId="8" borderId="0" xfId="0" applyNumberFormat="1" applyFont="1" applyFill="1" applyBorder="1" applyAlignment="1">
      <alignment horizontal="center" vertical="center"/>
    </xf>
    <xf numFmtId="0" fontId="8" fillId="5" borderId="0" xfId="0" quotePrefix="1" applyFont="1" applyFill="1" applyAlignment="1">
      <alignment horizontal="left" vertical="center" wrapText="1"/>
    </xf>
    <xf numFmtId="0" fontId="8" fillId="5" borderId="0" xfId="0" applyFont="1" applyFill="1" applyAlignment="1">
      <alignment horizontal="left" vertical="center" wrapText="1"/>
    </xf>
    <xf numFmtId="0" fontId="22" fillId="3" borderId="0" xfId="0" quotePrefix="1" applyFont="1" applyFill="1" applyAlignment="1">
      <alignment horizontal="left" vertical="center" wrapText="1"/>
    </xf>
    <xf numFmtId="0" fontId="24" fillId="3" borderId="0" xfId="0" quotePrefix="1" applyFont="1" applyFill="1" applyAlignment="1">
      <alignment horizontal="left" vertical="center" wrapText="1"/>
    </xf>
    <xf numFmtId="0" fontId="37" fillId="3" borderId="0" xfId="0" quotePrefix="1" applyFont="1" applyFill="1" applyAlignment="1">
      <alignment horizontal="left" vertical="center" wrapText="1"/>
    </xf>
    <xf numFmtId="0" fontId="22" fillId="3" borderId="0" xfId="0" applyFont="1" applyFill="1" applyAlignment="1">
      <alignment horizontal="left" vertical="center" wrapText="1"/>
    </xf>
    <xf numFmtId="0" fontId="35" fillId="5" borderId="0" xfId="0" applyFont="1" applyFill="1" applyBorder="1" applyAlignment="1">
      <alignment horizontal="center" vertical="top" wrapText="1"/>
    </xf>
    <xf numFmtId="0" fontId="35" fillId="5" borderId="9" xfId="0" applyFont="1" applyFill="1" applyBorder="1" applyAlignment="1">
      <alignment horizontal="center" vertical="top" wrapText="1"/>
    </xf>
    <xf numFmtId="0" fontId="36" fillId="5" borderId="0" xfId="0" quotePrefix="1" applyFont="1" applyFill="1" applyAlignment="1">
      <alignment horizontal="left" vertical="center" wrapText="1"/>
    </xf>
    <xf numFmtId="0" fontId="16" fillId="6" borderId="0" xfId="0" applyFont="1" applyFill="1" applyAlignment="1">
      <alignment horizontal="center" vertical="center"/>
    </xf>
    <xf numFmtId="0" fontId="22" fillId="3" borderId="0" xfId="0" quotePrefix="1" applyFont="1" applyFill="1" applyBorder="1" applyAlignment="1">
      <alignment horizontal="left" vertical="center" wrapText="1"/>
    </xf>
    <xf numFmtId="0" fontId="22" fillId="3" borderId="0" xfId="0" quotePrefix="1" applyFont="1" applyFill="1" applyAlignment="1">
      <alignment vertical="center" wrapText="1"/>
    </xf>
    <xf numFmtId="0" fontId="7" fillId="5" borderId="0" xfId="0" quotePrefix="1" applyFont="1" applyFill="1" applyAlignment="1">
      <alignment horizontal="left" vertical="center" wrapText="1"/>
    </xf>
    <xf numFmtId="0" fontId="7" fillId="5" borderId="0" xfId="0" applyFont="1" applyFill="1" applyAlignment="1">
      <alignment horizontal="left" vertical="center" wrapText="1"/>
    </xf>
    <xf numFmtId="0" fontId="16" fillId="2" borderId="0" xfId="0" quotePrefix="1" applyFont="1" applyFill="1" applyAlignment="1">
      <alignment horizontal="center" vertical="center"/>
    </xf>
    <xf numFmtId="0" fontId="17" fillId="2" borderId="0" xfId="0" quotePrefix="1" applyFont="1" applyFill="1" applyAlignment="1">
      <alignment horizontal="center" vertical="center"/>
    </xf>
    <xf numFmtId="0" fontId="22" fillId="3" borderId="0" xfId="0" quotePrefix="1" applyFont="1" applyFill="1" applyBorder="1" applyAlignment="1">
      <alignment horizontal="center" vertical="center" wrapText="1"/>
    </xf>
    <xf numFmtId="0" fontId="25" fillId="6" borderId="3"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0" xfId="0" applyFont="1" applyFill="1" applyBorder="1" applyAlignment="1">
      <alignment horizontal="center" vertical="center"/>
    </xf>
    <xf numFmtId="0" fontId="17" fillId="6" borderId="7"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Fill="1" applyBorder="1" applyAlignment="1">
      <alignment horizontal="center" vertical="center"/>
    </xf>
    <xf numFmtId="0" fontId="42" fillId="0" borderId="16" xfId="0" applyFont="1" applyFill="1" applyBorder="1" applyAlignment="1">
      <alignment horizontal="center" vertical="center"/>
    </xf>
    <xf numFmtId="0" fontId="42" fillId="0" borderId="12"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42" fillId="0" borderId="0" xfId="0" applyFont="1" applyFill="1" applyBorder="1" applyAlignment="1">
      <alignment horizontal="center" vertical="center"/>
    </xf>
    <xf numFmtId="0" fontId="3" fillId="0" borderId="0" xfId="0" applyFont="1" applyAlignment="1">
      <alignment horizontal="left" vertical="center"/>
    </xf>
    <xf numFmtId="0" fontId="13" fillId="0" borderId="0" xfId="0" applyFont="1" applyAlignment="1">
      <alignment horizontal="center" vertical="center"/>
    </xf>
    <xf numFmtId="0" fontId="3" fillId="0" borderId="0" xfId="0" applyFont="1" applyAlignment="1">
      <alignment horizontal="left" vertical="center" wrapText="1"/>
    </xf>
    <xf numFmtId="0" fontId="7" fillId="0" borderId="0" xfId="0" applyFont="1" applyFill="1" applyBorder="1" applyAlignment="1">
      <alignment horizontal="center" vertical="center" wrapText="1"/>
    </xf>
    <xf numFmtId="0" fontId="13" fillId="0" borderId="0" xfId="0" applyFont="1" applyBorder="1" applyAlignment="1">
      <alignment horizontal="center" vertical="center"/>
    </xf>
  </cellXfs>
  <cellStyles count="4">
    <cellStyle name="Moeda 2" xfId="3"/>
    <cellStyle name="Normal" xfId="0" builtinId="0"/>
    <cellStyle name="Porcentagem" xfId="2" builtinId="5"/>
    <cellStyle name="Vírgula" xfId="1" builtinId="3"/>
  </cellStyles>
  <dxfs count="343">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solid">
          <fgColor indexed="64"/>
          <bgColor rgb="FFFFFF00"/>
        </patternFill>
      </fill>
      <alignment horizontal="center" vertical="center" textRotation="0" wrapText="0"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8"/>
        <color auto="1"/>
        <name val="Times New Roman"/>
        <scheme val="none"/>
      </font>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protection locked="0" hidden="0"/>
    </dxf>
    <dxf>
      <fill>
        <patternFill patternType="none">
          <fgColor indexed="64"/>
          <bgColor auto="1"/>
        </patternFill>
      </fill>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strike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strike val="0"/>
        <outline val="0"/>
        <shadow val="0"/>
        <u val="none"/>
        <vertAlign val="baseline"/>
        <sz val="8"/>
        <color auto="1"/>
        <name val="Times New Roman"/>
        <scheme val="none"/>
      </font>
      <alignment horizontal="center" vertical="center" textRotation="0" wrapText="0" indent="0" justifyLastLine="0" shrinkToFit="0" readingOrder="0"/>
    </dxf>
    <dxf>
      <font>
        <strike val="0"/>
        <outline val="0"/>
        <shadow val="0"/>
        <u val="none"/>
        <vertAlign val="baseline"/>
        <sz val="8"/>
        <color auto="1"/>
        <name val="Times New Roman"/>
        <scheme val="none"/>
      </font>
      <alignment horizontal="center" vertical="center" textRotation="0" wrapText="0" indent="0" justifyLastLine="0" shrinkToFit="0" readingOrder="0"/>
    </dxf>
    <dxf>
      <font>
        <strike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solid">
          <fgColor indexed="64"/>
          <bgColor rgb="FFFF0000"/>
        </patternFill>
      </fill>
      <alignment horizontal="center" vertical="center" textRotation="0" wrapText="0" indent="0" justifyLastLine="0" shrinkToFit="0" readingOrder="0"/>
    </dxf>
    <dxf>
      <fill>
        <patternFill patternType="solid">
          <fgColor theme="9" tint="0.79998168889431442"/>
          <bgColor theme="6" tint="0.79998168889431442"/>
        </patternFill>
      </fill>
    </dxf>
    <dxf>
      <font>
        <b val="0"/>
        <i val="0"/>
        <strike val="0"/>
        <condense val="0"/>
        <extend val="0"/>
        <outline val="0"/>
        <shadow val="0"/>
        <u val="none"/>
        <vertAlign val="baseline"/>
        <sz val="8"/>
        <color auto="1"/>
        <name val="Times New Roman"/>
        <scheme val="none"/>
      </font>
      <numFmt numFmtId="35" formatCode="_-* #,##0.00_-;\-* #,##0.00_-;_-* &quot;-&quot;??_-;_-@_-"/>
      <fill>
        <patternFill patternType="solid">
          <fgColor indexed="64"/>
          <bgColor rgb="FFFF0000"/>
        </patternFill>
      </fill>
      <alignment horizontal="center" vertical="center" textRotation="0" wrapText="0" indent="0" justifyLastLine="0" shrinkToFit="0" readingOrder="0"/>
    </dxf>
    <dxf>
      <fill>
        <patternFill patternType="solid">
          <fgColor theme="9" tint="0.79998168889431442"/>
          <bgColor theme="6" tint="0.79998168889431442"/>
        </patternFill>
      </fill>
    </dxf>
    <dxf>
      <border outline="0">
        <top style="thin">
          <color theme="9"/>
        </top>
        <bottom style="thin">
          <color theme="9"/>
        </bottom>
      </border>
    </dxf>
    <dxf>
      <fill>
        <patternFill patternType="solid">
          <fgColor theme="9" tint="0.79998168889431442"/>
          <bgColor theme="6" tint="0.79998168889431442"/>
        </patternFill>
      </fill>
    </dxf>
    <dxf>
      <border>
        <bottom style="thin">
          <color auto="1"/>
        </bottom>
      </border>
    </dxf>
    <dxf>
      <font>
        <b/>
        <i val="0"/>
        <strike val="0"/>
        <condense val="0"/>
        <extend val="0"/>
        <outline val="0"/>
        <shadow val="0"/>
        <u val="none"/>
        <vertAlign val="baseline"/>
        <sz val="8"/>
        <color auto="1"/>
        <name val="Times New Roman"/>
        <scheme val="none"/>
      </font>
      <fill>
        <patternFill patternType="solid">
          <fgColor indexed="64"/>
          <bgColor theme="8"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solid">
          <fgColor indexed="64"/>
          <bgColor rgb="FFFF0000"/>
        </patternFill>
      </fill>
      <alignment horizontal="center"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8"/>
        <color auto="1"/>
        <name val="Times New Roman"/>
        <scheme val="none"/>
      </font>
      <fill>
        <patternFill patternType="solid">
          <fgColor indexed="64"/>
          <bgColor rgb="FFFF0000"/>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solid">
          <fgColor indexed="64"/>
          <bgColor rgb="FFFF0000"/>
        </patternFill>
      </fill>
      <alignment horizontal="center" vertical="center" textRotation="0" wrapText="1" indent="0" justifyLastLine="0" shrinkToFit="0" readingOrder="0"/>
      <border diagonalUp="0" diagonalDown="0" outline="0">
        <left/>
        <right/>
        <top/>
        <bottom/>
      </border>
    </dxf>
    <dxf>
      <font>
        <strike val="0"/>
        <outline val="0"/>
        <shadow val="0"/>
        <u val="none"/>
        <vertAlign val="baseline"/>
        <sz val="8"/>
        <color auto="1"/>
        <name val="Times New Roman"/>
        <scheme val="none"/>
      </font>
      <fill>
        <patternFill patternType="solid">
          <fgColor indexed="64"/>
          <bgColor rgb="FFFF0000"/>
        </patternFill>
      </fill>
      <alignment horizontal="center" vertical="center" textRotation="0" indent="0" justifyLastLine="0" shrinkToFit="0" readingOrder="0"/>
    </dxf>
    <dxf>
      <font>
        <strike val="0"/>
        <outline val="0"/>
        <shadow val="0"/>
        <u val="none"/>
        <vertAlign val="baseline"/>
        <sz val="8"/>
        <color auto="1"/>
        <name val="Times New Roman"/>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2" formatCode="0.00"/>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numFmt numFmtId="4" formatCode="#,##0.00"/>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8"/>
        <color auto="1"/>
        <name val="Times New Roman"/>
        <scheme val="none"/>
      </font>
      <alignment horizontal="center" vertical="center" textRotation="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4" formatCode="#,##0.00"/>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2" formatCode="0.00"/>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4" formatCode="_-&quot;R$&quot;\ * #,##0.00_-;\-&quot;R$&quot;\ * #,##0.00_-;_-&quot;R$&quot;\ *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4" formatCode="#,##0.00"/>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4" formatCode="#,##0.00"/>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Times New Roman"/>
        <scheme val="none"/>
      </font>
      <numFmt numFmtId="167" formatCode="_(&quot;R$&quot;* #,##0.00_);_(&quot;R$&quot;* \(#,##0.00\);_(&quot;R$&quot;* &quot;-&quot;??_);_(@_)"/>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val="0"/>
        <i val="0"/>
        <strike val="0"/>
        <condense val="0"/>
        <extend val="0"/>
        <outline val="0"/>
        <shadow val="0"/>
        <u val="none"/>
        <vertAlign val="baseline"/>
        <sz val="8"/>
        <color auto="1"/>
        <name val="Times New Roman"/>
        <scheme val="none"/>
      </font>
      <numFmt numFmtId="35" formatCode="_-* #,##0.00_-;\-* #,##0.0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protection locked="0" hidden="0"/>
    </dxf>
    <dxf>
      <font>
        <b val="0"/>
        <i val="0"/>
        <strike val="0"/>
        <condense val="0"/>
        <extend val="0"/>
        <outline val="0"/>
        <shadow val="0"/>
        <u val="none"/>
        <vertAlign val="baseline"/>
        <sz val="8"/>
        <color auto="1"/>
        <name val="Times New Roman"/>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border diagonalUp="0" diagonalDown="0">
        <left/>
        <right/>
        <top style="dotted">
          <color auto="1"/>
        </top>
        <bottom style="dotted">
          <color auto="1"/>
        </bottom>
      </border>
    </dxf>
    <dxf>
      <font>
        <b val="0"/>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right/>
        <top style="dotted">
          <color auto="1"/>
        </top>
        <bottom style="dotted">
          <color auto="1"/>
        </bottom>
      </border>
    </dxf>
    <dxf>
      <font>
        <strike val="0"/>
        <outline val="0"/>
        <shadow val="0"/>
        <u val="none"/>
        <vertAlign val="baseline"/>
        <sz val="8"/>
        <color auto="1"/>
        <name val="Times New Roman"/>
        <scheme val="none"/>
      </font>
      <alignment horizontal="center" vertical="center" textRotation="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auto="1"/>
        <name val="Times New Roman"/>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9"/>
        <color auto="1"/>
        <name val="Times New Roman"/>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9"/>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9"/>
        <color auto="1"/>
        <name val="Times New Roman"/>
        <scheme val="none"/>
      </font>
      <numFmt numFmtId="164" formatCode="_(* #,##0.00_);_(* \(#,##0.00\);_(* &quot;-&quot;??_);_(@_)"/>
      <alignment horizontal="center" vertical="center" textRotation="0" wrapText="0" indent="0" justifyLastLine="0" shrinkToFit="0" readingOrder="0"/>
    </dxf>
    <dxf>
      <font>
        <b val="0"/>
        <i val="0"/>
        <strike val="0"/>
        <condense val="0"/>
        <extend val="0"/>
        <outline val="0"/>
        <shadow val="0"/>
        <u val="none"/>
        <vertAlign val="baseline"/>
        <sz val="9"/>
        <color auto="1"/>
        <name val="Times New Roman"/>
        <scheme val="none"/>
      </font>
      <alignment horizontal="center" vertical="center" textRotation="0" wrapText="1" indent="0" justifyLastLine="0" shrinkToFit="0" readingOrder="0"/>
    </dxf>
    <dxf>
      <font>
        <strike val="0"/>
        <outline val="0"/>
        <shadow val="0"/>
        <u val="none"/>
        <vertAlign val="baseline"/>
        <sz val="9"/>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dxf>
    <dxf>
      <font>
        <strike val="0"/>
        <outline val="0"/>
        <shadow val="0"/>
        <u val="none"/>
        <vertAlign val="baseline"/>
        <sz val="9"/>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9"/>
        <color auto="1"/>
        <name val="Times New Roman"/>
        <scheme val="none"/>
      </font>
      <alignment horizontal="center" vertical="center" textRotation="0" wrapText="1" indent="0" justifyLastLine="0" shrinkToFit="0" readingOrder="0"/>
    </dxf>
    <dxf>
      <font>
        <b/>
        <strike val="0"/>
        <outline val="0"/>
        <shadow val="0"/>
        <u val="none"/>
        <vertAlign val="baseline"/>
        <sz val="9"/>
        <color auto="1"/>
        <name val="Times New Roman"/>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dxf>
    <dxf>
      <font>
        <strike val="0"/>
        <outline val="0"/>
        <shadow val="0"/>
        <u val="none"/>
        <vertAlign val="baseline"/>
        <sz val="9"/>
        <color auto="1"/>
        <name val="Times New Roman"/>
        <scheme val="none"/>
      </font>
      <alignment horizontal="center" vertical="center" textRotation="0" wrapText="0" indent="0" justifyLastLine="0" shrinkToFit="0" readingOrder="0"/>
    </dxf>
    <dxf>
      <font>
        <strike val="0"/>
        <outline val="0"/>
        <shadow val="0"/>
        <u val="none"/>
        <vertAlign val="baseline"/>
        <sz val="9"/>
        <color auto="1"/>
        <name val="Times New Roman"/>
        <scheme val="none"/>
      </font>
    </dxf>
    <dxf>
      <font>
        <strike val="0"/>
        <outline val="0"/>
        <shadow val="0"/>
        <u val="none"/>
        <vertAlign val="baseline"/>
        <sz val="9"/>
        <color auto="1"/>
        <name val="Times New Roman"/>
        <scheme val="none"/>
      </font>
      <alignment horizontal="center" vertical="center" textRotation="0" wrapText="0" indent="0" justifyLastLine="0" shrinkToFit="0" readingOrder="0"/>
    </dxf>
    <dxf>
      <font>
        <strike val="0"/>
        <outline val="0"/>
        <shadow val="0"/>
        <u val="none"/>
        <vertAlign val="baseline"/>
        <sz val="9"/>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9"/>
        <color auto="1"/>
        <name val="Times New Roman"/>
        <scheme val="none"/>
      </font>
      <numFmt numFmtId="164" formatCode="_(* #,##0.00_);_(* \(#,##0.00\);_(* &quot;-&quot;??_);_(@_)"/>
      <alignment horizontal="center" vertical="center" textRotation="0" wrapText="0" indent="0" justifyLastLine="0" shrinkToFit="0" readingOrder="0"/>
    </dxf>
    <dxf>
      <font>
        <b val="0"/>
        <i val="0"/>
        <strike val="0"/>
        <condense val="0"/>
        <extend val="0"/>
        <outline val="0"/>
        <shadow val="0"/>
        <u val="none"/>
        <vertAlign val="baseline"/>
        <sz val="9"/>
        <color auto="1"/>
        <name val="Times New Roman"/>
        <scheme val="none"/>
      </font>
      <numFmt numFmtId="35" formatCode="_-* #,##0.00_-;\-* #,##0.00_-;_-* &quot;-&quot;??_-;_-@_-"/>
      <alignment horizontal="center" vertical="center" textRotation="0" wrapText="0" indent="0" justifyLastLine="0" shrinkToFit="0" readingOrder="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Times New Roman"/>
        <scheme val="none"/>
      </font>
      <alignment horizontal="center" vertical="center" textRotation="0" wrapText="1" indent="0" justifyLastLine="0" shrinkToFit="0" readingOrder="0"/>
    </dxf>
    <dxf>
      <font>
        <strike val="0"/>
        <outline val="0"/>
        <shadow val="0"/>
        <u val="none"/>
        <vertAlign val="baseline"/>
        <sz val="9"/>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dxf>
    <dxf>
      <font>
        <strike val="0"/>
        <outline val="0"/>
        <shadow val="0"/>
        <u val="none"/>
        <vertAlign val="baseline"/>
        <sz val="9"/>
        <color auto="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9"/>
        <color auto="1"/>
        <name val="Times New Roman"/>
        <scheme val="none"/>
      </font>
      <alignment horizontal="center" vertical="center" textRotation="0" wrapText="1" indent="0" justifyLastLine="0" shrinkToFit="0" readingOrder="0"/>
    </dxf>
    <dxf>
      <font>
        <b/>
        <strike val="0"/>
        <outline val="0"/>
        <shadow val="0"/>
        <u val="none"/>
        <vertAlign val="baseline"/>
        <sz val="9"/>
        <color auto="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Times New Roman"/>
        <scheme val="none"/>
      </font>
      <alignment horizontal="center" vertical="center" textRotation="0" wrapText="0" indent="0" justifyLastLine="0" shrinkToFit="0" readingOrder="0"/>
    </dxf>
    <dxf>
      <font>
        <strike val="0"/>
        <outline val="0"/>
        <shadow val="0"/>
        <u val="none"/>
        <vertAlign val="baseline"/>
        <sz val="9"/>
        <color auto="1"/>
        <name val="Times New Roman"/>
        <scheme val="none"/>
      </font>
      <alignment horizontal="center" vertical="center" textRotation="0" wrapText="0" indent="0" justifyLastLine="0" shrinkToFit="0" readingOrder="0"/>
    </dxf>
    <dxf>
      <font>
        <strike val="0"/>
        <outline val="0"/>
        <shadow val="0"/>
        <u val="none"/>
        <vertAlign val="baseline"/>
        <sz val="9"/>
        <color auto="1"/>
        <name val="Times New Roman"/>
        <scheme val="none"/>
      </font>
    </dxf>
    <dxf>
      <font>
        <strike val="0"/>
        <outline val="0"/>
        <shadow val="0"/>
        <u val="none"/>
        <vertAlign val="baseline"/>
        <sz val="9"/>
        <color auto="1"/>
        <name val="Times New Roman"/>
        <scheme val="none"/>
      </font>
      <alignment horizontal="center" vertical="center" textRotation="0" wrapText="0" indent="0" justifyLastLine="0" shrinkToFit="0" readingOrder="0"/>
    </dxf>
    <dxf>
      <font>
        <strike val="0"/>
        <outline val="0"/>
        <shadow val="0"/>
        <u val="none"/>
        <vertAlign val="baseline"/>
        <sz val="9"/>
        <color auto="1"/>
        <name val="Times New Roman"/>
        <scheme val="none"/>
      </font>
      <alignment horizontal="center" vertical="center" textRotation="0" wrapText="1" indent="0" justifyLastLine="0" shrinkToFit="0" readingOrder="0"/>
    </dxf>
  </dxfs>
  <tableStyles count="0" defaultTableStyle="TableStyleMedium2" defaultPivotStyle="PivotStyleLight16"/>
  <colors>
    <mruColors>
      <color rgb="FFFFEBF6"/>
      <color rgb="FF97117A"/>
      <color rgb="FF750D5F"/>
      <color rgb="FFFFB3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ables/table1.xml><?xml version="1.0" encoding="utf-8"?>
<table xmlns="http://schemas.openxmlformats.org/spreadsheetml/2006/main" id="25" name="Consol_Menor_Fixa" displayName="Consol_Menor_Fixa" ref="A5:G15" totalsRowCount="1" headerRowDxfId="342" dataDxfId="341" totalsRowDxfId="340">
  <tableColumns count="7">
    <tableColumn id="1" name="GRUPO" dataDxfId="339" totalsRowDxfId="338"/>
    <tableColumn id="2" name="TIPO DE DESPESA" dataDxfId="337" totalsRowDxfId="336">
      <calculatedColumnFormula>IF(Consol_Menor_Fixa[[#This Row],[GRUPO]]="A","Fixa","Investimento Inicial")</calculatedColumnFormula>
    </tableColumn>
    <tableColumn id="6" name="ABA" dataDxfId="335" totalsRowDxfId="334"/>
    <tableColumn id="3" name="NOME" dataDxfId="333" totalsRowDxfId="332"/>
    <tableColumn id="8" name="VALOR MÊS" totalsRowFunction="custom" dataDxfId="331" totalsRowDxfId="330">
      <totalsRowFormula>SUM(Consol_Menor_Fixa[VALOR MÊS])</totalsRowFormula>
    </tableColumn>
    <tableColumn id="14" name="VALOR ANO                " totalsRowFunction="custom" dataDxfId="329" totalsRowDxfId="328">
      <totalsRowFormula>SUM(Consol_Menor_Fixa[[VALOR ANO                ]])</totalsRowFormula>
    </tableColumn>
    <tableColumn id="24" name="LOTE %" totalsRowFunction="custom" dataDxfId="327" totalsRowDxfId="326" dataCellStyle="Porcentagem">
      <totalsRowFormula>SUM(Consol_Menor_Fixa[LOTE %])</totalsRowFormula>
    </tableColumn>
  </tableColumns>
  <tableStyleInfo name="TableStyleLight4" showFirstColumn="0" showLastColumn="0" showRowStripes="1" showColumnStripes="0"/>
</table>
</file>

<file path=xl/tables/table10.xml><?xml version="1.0" encoding="utf-8"?>
<table xmlns="http://schemas.openxmlformats.org/spreadsheetml/2006/main" id="2" name="Odon_Mat_Consum_Dados" displayName="Odon_Mat_Consum_Dados" ref="A3:C89" totalsRowCount="1" headerRowDxfId="222" dataDxfId="221">
  <tableColumns count="3">
    <tableColumn id="1" name="ID" dataDxfId="220" totalsRowDxfId="219"/>
    <tableColumn id="3" name="DISCRIMINAÇÃO" dataDxfId="218" totalsRowDxfId="217"/>
    <tableColumn id="9" name="QUANT" totalsRowFunction="custom" dataDxfId="216" totalsRowDxfId="215">
      <totalsRowFormula>SUBTOTAL(109,C4:C88)</totalsRowFormula>
    </tableColumn>
  </tableColumns>
  <tableStyleInfo name="TableStyleLight4" showFirstColumn="0" showLastColumn="0" showRowStripes="1" showColumnStripes="0"/>
</table>
</file>

<file path=xl/tables/table11.xml><?xml version="1.0" encoding="utf-8"?>
<table xmlns="http://schemas.openxmlformats.org/spreadsheetml/2006/main" id="29" name="Odon_Mat_Consum_Deconhecida" displayName="Odon_Mat_Consum_Deconhecida" ref="D3:F89" totalsRowCount="1" headerRowDxfId="214" dataDxfId="213">
  <autoFilter ref="D3:F88">
    <filterColumn colId="0" hiddenButton="1"/>
    <filterColumn colId="1" hiddenButton="1"/>
    <filterColumn colId="2" hiddenButton="1"/>
  </autoFilter>
  <tableColumns count="3">
    <tableColumn id="1" name="VALOR UNID" dataDxfId="212" totalsRowDxfId="211"/>
    <tableColumn id="4" name="VALOR MÊS" totalsRowFunction="custom" dataDxfId="210" totalsRowDxfId="209" dataCellStyle="Vírgula">
      <calculatedColumnFormula>Odon_Mat_Consum_Deconhecida[[#This Row],[VALOR UNID]]*Odon_Mat_Consum_Dados[[#This Row],[QUANT]]</calculatedColumnFormula>
      <totalsRowFormula>SUBTOTAL(109,E4:E88)</totalsRowFormula>
    </tableColumn>
    <tableColumn id="7" name="VALOR ANO" totalsRowFunction="custom" dataDxfId="208" totalsRowDxfId="207" dataCellStyle="Vírgula">
      <calculatedColumnFormula>Odon_Mat_Consum_Deconhecida[[#This Row],[VALOR MÊS]]*12</calculatedColumnFormula>
      <totalsRowFormula>SUM(Odon_Mat_Consum_Deconhecida[VALOR ANO])</totalsRowFormula>
    </tableColumn>
  </tableColumns>
  <tableStyleInfo name="TableStyleLight2" showFirstColumn="0" showLastColumn="0" showRowStripes="1" showColumnStripes="0"/>
</table>
</file>

<file path=xl/tables/table12.xml><?xml version="1.0" encoding="utf-8"?>
<table xmlns="http://schemas.openxmlformats.org/spreadsheetml/2006/main" id="11" name="Odont_Instrum_Recor_Dados" displayName="Odont_Instrum_Recor_Dados" ref="A3:C35" totalsRowCount="1" headerRowDxfId="206" dataDxfId="205">
  <tableColumns count="3">
    <tableColumn id="1" name="ID" dataDxfId="204" totalsRowDxfId="203"/>
    <tableColumn id="13" name="DISCRIMINAÇÃO" dataDxfId="202" totalsRowDxfId="201"/>
    <tableColumn id="9" name="QUANT " totalsRowFunction="custom" dataDxfId="200" totalsRowDxfId="199">
      <totalsRowFormula>SUBTOTAL(109,C4:C34)</totalsRowFormula>
    </tableColumn>
  </tableColumns>
  <tableStyleInfo name="TableStyleLight4" showFirstColumn="0" showLastColumn="0" showRowStripes="1" showColumnStripes="0"/>
</table>
</file>

<file path=xl/tables/table13.xml><?xml version="1.0" encoding="utf-8"?>
<table xmlns="http://schemas.openxmlformats.org/spreadsheetml/2006/main" id="41" name="Odont_Instrum_Recor_Dent_Speed_Graph" displayName="Odont_Instrum_Recor_Dent_Speed_Graph" ref="D3:F35" totalsRowCount="1" headerRowDxfId="198" dataDxfId="197">
  <tableColumns count="3">
    <tableColumn id="1" name="VALOR UNID" dataDxfId="196" totalsRowDxfId="195" dataCellStyle="Vírgula"/>
    <tableColumn id="2" name="VALOR MÊS" totalsRowFunction="custom" dataDxfId="194" totalsRowDxfId="193" dataCellStyle="Vírgula">
      <calculatedColumnFormula>Odont_Instrum_Recor_Dent_Speed_Graph[[#This Row],[VALOR UNID]]*Odont_Instrum_Recor_Dados[[#This Row],[QUANT ]]</calculatedColumnFormula>
      <totalsRowFormula>SUBTOTAL(109,E4:E34)</totalsRowFormula>
    </tableColumn>
    <tableColumn id="5" name="VALOR ANO" totalsRowFunction="custom" dataDxfId="192" totalsRowDxfId="191" dataCellStyle="Vírgula">
      <calculatedColumnFormula>Odont_Instrum_Recor_Dent_Speed_Graph[[#This Row],[VALOR MÊS]]*12</calculatedColumnFormula>
      <totalsRowFormula>SUBTOTAL(109,F4:F34)</totalsRowFormula>
    </tableColumn>
  </tableColumns>
  <tableStyleInfo name="TableStyleLight2" showFirstColumn="0" showLastColumn="0" showRowStripes="1" showColumnStripes="0"/>
</table>
</file>

<file path=xl/tables/table14.xml><?xml version="1.0" encoding="utf-8"?>
<table xmlns="http://schemas.openxmlformats.org/spreadsheetml/2006/main" id="70" name="Exames_Dados" displayName="Exames_Dados" ref="A3:D121" totalsRowCount="1" headerRowDxfId="190" dataDxfId="189" totalsRowDxfId="188">
  <sortState ref="A4:J125">
    <sortCondition ref="A3:A125"/>
  </sortState>
  <tableColumns count="4">
    <tableColumn id="1" name="ID" dataDxfId="187" totalsRowDxfId="186"/>
    <tableColumn id="2" name="NOME DO EXAME" dataDxfId="185" totalsRowDxfId="184"/>
    <tableColumn id="20" name="QUANT" totalsRowFunction="sum" dataDxfId="183" totalsRowDxfId="182"/>
    <tableColumn id="3" name="VALOR UNIT" dataDxfId="181" totalsRowDxfId="180"/>
  </tableColumns>
  <tableStyleInfo name="TableStyleLight4" showFirstColumn="0" showLastColumn="0" showRowStripes="1" showColumnStripes="0"/>
</table>
</file>

<file path=xl/tables/table15.xml><?xml version="1.0" encoding="utf-8"?>
<table xmlns="http://schemas.openxmlformats.org/spreadsheetml/2006/main" id="71" name="Exames_Valores" displayName="Exames_Valores" ref="E3:F121" totalsRowCount="1" headerRowDxfId="179" dataDxfId="178" totalsRowDxfId="177" headerRowCellStyle="Vírgula" dataCellStyle="Vírgula" totalsRowCellStyle="Vírgula">
  <tableColumns count="2">
    <tableColumn id="1" name="VALOR MÊS " totalsRowFunction="sum" dataDxfId="176" totalsRowDxfId="175" dataCellStyle="Vírgula">
      <calculatedColumnFormula>Exames_Dados[[#This Row],[VALOR UNIT]]*Exames_Dados[[#This Row],[QUANT]]</calculatedColumnFormula>
    </tableColumn>
    <tableColumn id="4" name="VALOR ANO" totalsRowFunction="custom" dataDxfId="174" totalsRowDxfId="173" dataCellStyle="Vírgula">
      <calculatedColumnFormula>Exames_Valores[[#This Row],[VALOR MÊS ]]*12</calculatedColumnFormula>
      <totalsRowFormula>SUBTOTAL(109,F4:F120)</totalsRowFormula>
    </tableColumn>
  </tableColumns>
  <tableStyleInfo name="TableStyleLight7" showFirstColumn="0" showLastColumn="0" showRowStripes="1" showColumnStripes="0"/>
</table>
</file>

<file path=xl/tables/table16.xml><?xml version="1.0" encoding="utf-8"?>
<table xmlns="http://schemas.openxmlformats.org/spreadsheetml/2006/main" id="60" name="Manut_Equipam_Dados" displayName="Manut_Equipam_Dados" ref="A3:D50" totalsRowCount="1" headerRowDxfId="172" dataDxfId="171">
  <tableColumns count="4">
    <tableColumn id="1" name="ID" dataDxfId="170" totalsRowDxfId="169"/>
    <tableColumn id="3" name="DISCRIMINAÇÃO" dataDxfId="168" totalsRowDxfId="167"/>
    <tableColumn id="6" name="OBS 1" dataDxfId="166" totalsRowDxfId="165"/>
    <tableColumn id="9" name="QUANT" totalsRowFunction="custom" dataDxfId="164" totalsRowDxfId="163">
      <totalsRowFormula>SUBTOTAL(109,D4:D49)</totalsRowFormula>
    </tableColumn>
  </tableColumns>
  <tableStyleInfo name="TableStyleLight4" showFirstColumn="0" showLastColumn="0" showRowStripes="1" showColumnStripes="0"/>
</table>
</file>

<file path=xl/tables/table17.xml><?xml version="1.0" encoding="utf-8"?>
<table xmlns="http://schemas.openxmlformats.org/spreadsheetml/2006/main" id="63" name="Manut_Equipam_SEJUS" displayName="Manut_Equipam_SEJUS" ref="E3:G50" totalsRowCount="1" headerRowDxfId="162" dataDxfId="161">
  <autoFilter ref="E3:G49">
    <filterColumn colId="0" hiddenButton="1"/>
    <filterColumn colId="1" hiddenButton="1"/>
    <filterColumn colId="2" hiddenButton="1"/>
  </autoFilter>
  <tableColumns count="3">
    <tableColumn id="1" name="VALOR UNID" dataDxfId="160" totalsRowDxfId="159"/>
    <tableColumn id="2" name="VALOR MÊS" totalsRowFunction="custom" dataDxfId="158" totalsRowDxfId="157" dataCellStyle="Vírgula">
      <calculatedColumnFormula>Manut_Equipam_SEJUS[[#This Row],[VALOR UNID]]/2*(Manut_Equipam_Dados[[#This Row],[QUANT]])</calculatedColumnFormula>
      <totalsRowFormula>SUBTOTAL(109,F4:F49)</totalsRowFormula>
    </tableColumn>
    <tableColumn id="5" name="VALOR ANO" totalsRowFunction="custom" dataDxfId="156" totalsRowDxfId="155" dataCellStyle="Vírgula">
      <calculatedColumnFormula>Manut_Equipam_SEJUS[[#This Row],[VALOR MÊS]]*12</calculatedColumnFormula>
      <totalsRowFormula>SUBTOTAL(109,G4:G49)</totalsRowFormula>
    </tableColumn>
  </tableColumns>
  <tableStyleInfo name="TableStyleLight7" showFirstColumn="0" showLastColumn="0" showRowStripes="1" showColumnStripes="0"/>
</table>
</file>

<file path=xl/tables/table18.xml><?xml version="1.0" encoding="utf-8"?>
<table xmlns="http://schemas.openxmlformats.org/spreadsheetml/2006/main" id="16" name="Serviç_Apoio_Dados" displayName="Serviç_Apoio_Dados" ref="A3:C4" totalsRowShown="0" headerRowDxfId="154" dataDxfId="153" totalsRowDxfId="152">
  <tableColumns count="3">
    <tableColumn id="1" name="SERVIÇOS" totalsRowDxfId="151"/>
    <tableColumn id="2" name="DESCRIÇÃO" totalsRowDxfId="150"/>
    <tableColumn id="3" name="DESCRIÇÃO2" totalsRowDxfId="149"/>
  </tableColumns>
  <tableStyleInfo name="TableStyleLight4" showFirstColumn="0" showLastColumn="0" showRowStripes="1" showColumnStripes="0"/>
</table>
</file>

<file path=xl/tables/table19.xml><?xml version="1.0" encoding="utf-8"?>
<table xmlns="http://schemas.openxmlformats.org/spreadsheetml/2006/main" id="57" name="Serviç_Apoio_Valores" displayName="Serviç_Apoio_Valores" ref="E3:F4" totalsRowShown="0" headerRowDxfId="148" dataDxfId="146" headerRowBorderDxfId="147" tableBorderDxfId="145">
  <autoFilter ref="E3:F4">
    <filterColumn colId="0" hiddenButton="1"/>
    <filterColumn colId="1" hiddenButton="1"/>
  </autoFilter>
  <tableColumns count="2">
    <tableColumn id="7" name="VALOR  MENSAL" dataDxfId="144" totalsRowDxfId="143" dataCellStyle="Vírgula"/>
    <tableColumn id="4" name="VALOR ANO " dataDxfId="142" totalsRowDxfId="141"/>
  </tableColumns>
  <tableStyleInfo name="TableStyleLight7" showFirstColumn="0" showLastColumn="0" showRowStripes="1" showColumnStripes="0"/>
</table>
</file>

<file path=xl/tables/table2.xml><?xml version="1.0" encoding="utf-8"?>
<table xmlns="http://schemas.openxmlformats.org/spreadsheetml/2006/main" id="26" name="Consol_Menor_Invest" displayName="Consol_Menor_Invest" ref="A17:F27" totalsRowCount="1" headerRowDxfId="325" dataDxfId="324" totalsRowDxfId="323">
  <tableColumns count="6">
    <tableColumn id="1" name="GRUPO" dataDxfId="322" totalsRowDxfId="321"/>
    <tableColumn id="2" name="TIPO DE DESPESA" dataDxfId="320" totalsRowDxfId="319"/>
    <tableColumn id="6" name="ABA" dataDxfId="318" totalsRowDxfId="317"/>
    <tableColumn id="3" name="NOME" dataDxfId="316" totalsRowDxfId="315"/>
    <tableColumn id="10" name="VALOR INVESTIDO" totalsRowFunction="custom" dataDxfId="314" totalsRowDxfId="313">
      <totalsRowFormula>SUM(Consol_Menor_Invest[VALOR INVESTIDO])</totalsRowFormula>
    </tableColumn>
    <tableColumn id="16" name="LOTE %" totalsRowFunction="sum" dataDxfId="312" totalsRowDxfId="311" dataCellStyle="Porcentagem">
      <calculatedColumnFormula>Consol_Menor_Invest[[#This Row],[VALOR INVESTIDO]]/Consol_Menor_Invest[[#Totals],[VALOR INVESTIDO]]</calculatedColumnFormula>
    </tableColumn>
  </tableColumns>
  <tableStyleInfo name="TableStyleLight4" showFirstColumn="0" showLastColumn="0" showRowStripes="1" showColumnStripes="0"/>
</table>
</file>

<file path=xl/tables/table20.xml><?xml version="1.0" encoding="utf-8"?>
<table xmlns="http://schemas.openxmlformats.org/spreadsheetml/2006/main" id="73" name="Est_Inf_Dados" displayName="Est_Inf_Dados" ref="A3:D19" totalsRowCount="1" headerRowDxfId="140" dataDxfId="139">
  <autoFilter ref="A3:D18">
    <filterColumn colId="0" hiddenButton="1"/>
    <filterColumn colId="1" hiddenButton="1"/>
    <filterColumn colId="2" hiddenButton="1"/>
    <filterColumn colId="3" hiddenButton="1"/>
  </autoFilter>
  <tableColumns count="4">
    <tableColumn id="1" name="ITEM" dataDxfId="138" totalsRowDxfId="137"/>
    <tableColumn id="2" name="UNIDADES" dataDxfId="136" totalsRowDxfId="135"/>
    <tableColumn id="3" name="QUANT" totalsRowFunction="sum" dataDxfId="134" totalsRowDxfId="133"/>
    <tableColumn id="6" name="VALOR UNID" dataDxfId="132" totalsRowDxfId="131" dataCellStyle="Vírgula"/>
  </tableColumns>
  <tableStyleInfo name="TableStyleLight6" showFirstColumn="0" showLastColumn="0" showRowStripes="1" showColumnStripes="0"/>
</table>
</file>

<file path=xl/tables/table21.xml><?xml version="1.0" encoding="utf-8"?>
<table xmlns="http://schemas.openxmlformats.org/spreadsheetml/2006/main" id="76" name="Est_Inf_Valores" displayName="Est_Inf_Valores" ref="E3:E19" totalsRowCount="1" headerRowDxfId="130" dataDxfId="129">
  <autoFilter ref="E3:E18">
    <filterColumn colId="0" hiddenButton="1"/>
  </autoFilter>
  <tableColumns count="1">
    <tableColumn id="1" name="VALOR TOTAL" totalsRowFunction="sum" dataDxfId="128" totalsRowDxfId="127">
      <calculatedColumnFormula>Est_Inf_Dados[[#This Row],[QUANT]]*Est_Inf_Dados[[#This Row],[VALOR UNID]]</calculatedColumnFormula>
    </tableColumn>
  </tableColumns>
  <tableStyleInfo name="TableStyleLight5" showFirstColumn="0" showLastColumn="0" showRowStripes="1" showColumnStripes="0"/>
</table>
</file>

<file path=xl/tables/table22.xml><?xml version="1.0" encoding="utf-8"?>
<table xmlns="http://schemas.openxmlformats.org/spreadsheetml/2006/main" id="14" name="Mat_Saúde_Dados" displayName="Mat_Saúde_Dados" ref="A3:F46" totalsRowCount="1" headerRowDxfId="126" dataDxfId="125">
  <tableColumns count="6">
    <tableColumn id="1" name="ID" dataDxfId="124" totalsRowDxfId="123"/>
    <tableColumn id="3" name="TIPO DE MATERIAL" dataDxfId="122" totalsRowDxfId="121"/>
    <tableColumn id="5" name="MATERIAL" dataDxfId="120" totalsRowDxfId="119"/>
    <tableColumn id="13" name="ESPECIFICAÇÃO" dataDxfId="118" totalsRowDxfId="117"/>
    <tableColumn id="7" name="UNIDADE" dataDxfId="116" totalsRowDxfId="115"/>
    <tableColumn id="9" name="QUANT" totalsRowFunction="custom" dataDxfId="114" totalsRowDxfId="113">
      <totalsRowFormula>SUBTOTAL(109,F4:F45)</totalsRowFormula>
    </tableColumn>
  </tableColumns>
  <tableStyleInfo name="TableStyleLight6" showFirstColumn="0" showLastColumn="0" showRowStripes="1" showColumnStripes="0"/>
</table>
</file>

<file path=xl/tables/table23.xml><?xml version="1.0" encoding="utf-8"?>
<table xmlns="http://schemas.openxmlformats.org/spreadsheetml/2006/main" id="15" name="Mat_Saúde_Nun_e_Gomes" displayName="Mat_Saúde_Nun_e_Gomes" ref="G3:H46" totalsRowCount="1" headerRowDxfId="112" dataDxfId="111">
  <tableColumns count="2">
    <tableColumn id="1" name="VALOR UNID" dataDxfId="110" totalsRowDxfId="109"/>
    <tableColumn id="4" name="VALOR TOTAL" totalsRowFunction="sum" dataDxfId="108" totalsRowDxfId="107"/>
  </tableColumns>
  <tableStyleInfo name="TableStyleLight5" showFirstColumn="0" showLastColumn="0" showRowStripes="1" showColumnStripes="0"/>
</table>
</file>

<file path=xl/tables/table24.xml><?xml version="1.0" encoding="utf-8"?>
<table xmlns="http://schemas.openxmlformats.org/spreadsheetml/2006/main" id="36" name="Saúde_Instrum_Dados" displayName="Saúde_Instrum_Dados" ref="A3:D24" totalsRowCount="1" headerRowDxfId="106" dataDxfId="105">
  <tableColumns count="4">
    <tableColumn id="1" name="ID" dataDxfId="104" totalsRowDxfId="103"/>
    <tableColumn id="5" name="MATERIAL" dataDxfId="102" totalsRowDxfId="101"/>
    <tableColumn id="13" name="ESPECIFICAÇÃO" dataDxfId="100" totalsRowDxfId="99"/>
    <tableColumn id="9" name="QUANT" totalsRowFunction="custom" dataDxfId="98" totalsRowDxfId="97">
      <totalsRowFormula>SUBTOTAL(109,D4:D23)</totalsRowFormula>
    </tableColumn>
  </tableColumns>
  <tableStyleInfo name="TableStyleLight6" showFirstColumn="0" showLastColumn="0" showRowStripes="1" showColumnStripes="0"/>
</table>
</file>

<file path=xl/tables/table25.xml><?xml version="1.0" encoding="utf-8"?>
<table xmlns="http://schemas.openxmlformats.org/spreadsheetml/2006/main" id="37" name="Saúde_Instrum_Speed_Graph_Internet" displayName="Saúde_Instrum_Speed_Graph_Internet" ref="E3:F24" totalsRowCount="1" headerRowDxfId="96" dataDxfId="95" headerRowCellStyle="Vírgula" dataCellStyle="Vírgula" totalsRowCellStyle="Vírgula">
  <tableColumns count="2">
    <tableColumn id="1" name="VALOR UNID" dataDxfId="94" totalsRowDxfId="93" dataCellStyle="Vírgula"/>
    <tableColumn id="4" name="VALOR TOTAL" totalsRowFunction="custom" dataDxfId="92" totalsRowDxfId="91" dataCellStyle="Vírgula">
      <totalsRowFormula>SUBTOTAL(109,F4:F23)</totalsRowFormula>
    </tableColumn>
  </tableColumns>
  <tableStyleInfo name="TableStyleLight5" showFirstColumn="0" showLastColumn="0" showRowStripes="1" showColumnStripes="0"/>
</table>
</file>

<file path=xl/tables/table26.xml><?xml version="1.0" encoding="utf-8"?>
<table xmlns="http://schemas.openxmlformats.org/spreadsheetml/2006/main" id="46" name="Odonto_Instrum_Dados" displayName="Odonto_Instrum_Dados" ref="A3:C68" totalsRowCount="1" headerRowDxfId="90" dataDxfId="89">
  <tableColumns count="3">
    <tableColumn id="1" name="ID" dataDxfId="88" totalsRowDxfId="87"/>
    <tableColumn id="13" name="DISCRIMINAÇÃO" dataDxfId="86" totalsRowDxfId="85"/>
    <tableColumn id="9" name="QUANT " totalsRowFunction="custom" dataDxfId="84" totalsRowDxfId="83">
      <totalsRowFormula>SUBTOTAL(109,C4:C67)</totalsRowFormula>
    </tableColumn>
  </tableColumns>
  <tableStyleInfo name="TableStyleLight6" showFirstColumn="0" showLastColumn="0" showRowStripes="1" showColumnStripes="0"/>
</table>
</file>

<file path=xl/tables/table27.xml><?xml version="1.0" encoding="utf-8"?>
<table xmlns="http://schemas.openxmlformats.org/spreadsheetml/2006/main" id="48" name="Odonto_Instrum_Dental_Speed_Graph" displayName="Odonto_Instrum_Dental_Speed_Graph" ref="D3:E68" totalsRowCount="1" headerRowDxfId="82" dataDxfId="81" totalsRowDxfId="80" headerRowCellStyle="Vírgula" dataCellStyle="Vírgula" totalsRowCellStyle="Vírgula">
  <tableColumns count="2">
    <tableColumn id="1" name="VALOR UNID " dataDxfId="79" totalsRowDxfId="78" dataCellStyle="Vírgula"/>
    <tableColumn id="4" name="VALOR TOTAL " totalsRowFunction="custom" dataDxfId="77" totalsRowDxfId="76" dataCellStyle="Vírgula">
      <totalsRowFormula>SUBTOTAL(109,E4:E67)</totalsRowFormula>
    </tableColumn>
  </tableColumns>
  <tableStyleInfo name="TableStyleLight5" showFirstColumn="0" showLastColumn="0" showRowStripes="1" showColumnStripes="0"/>
</table>
</file>

<file path=xl/tables/table28.xml><?xml version="1.0" encoding="utf-8"?>
<table xmlns="http://schemas.openxmlformats.org/spreadsheetml/2006/main" id="49" name="Montag_Sala_Vacina_Dados" displayName="Montag_Sala_Vacina_Dados" ref="A3:C25" totalsRowCount="1" headerRowDxfId="75" dataDxfId="74">
  <tableColumns count="3">
    <tableColumn id="1" name="ID" dataDxfId="73" totalsRowDxfId="72"/>
    <tableColumn id="3" name="DISCRIMINAÇÃO" dataDxfId="71" totalsRowDxfId="70"/>
    <tableColumn id="9" name="QUANT" totalsRowFunction="custom" dataDxfId="69" totalsRowDxfId="68">
      <totalsRowFormula>SUBTOTAL(109,C4:C24)</totalsRowFormula>
    </tableColumn>
  </tableColumns>
  <tableStyleInfo name="TableStyleLight6" showFirstColumn="0" showLastColumn="0" showRowStripes="1" showColumnStripes="0"/>
</table>
</file>

<file path=xl/tables/table29.xml><?xml version="1.0" encoding="utf-8"?>
<table xmlns="http://schemas.openxmlformats.org/spreadsheetml/2006/main" id="50" name="Montag_Sala_Vacina_Diversos" displayName="Montag_Sala_Vacina_Diversos" ref="D3:E25" totalsRowCount="1" headerRowDxfId="67" dataDxfId="66" totalsRowDxfId="65" headerRowCellStyle="Vírgula" dataCellStyle="Vírgula" totalsRowCellStyle="Vírgula">
  <tableColumns count="2">
    <tableColumn id="1" name="VALOR UNID" dataDxfId="64" totalsRowDxfId="63" dataCellStyle="Vírgula"/>
    <tableColumn id="4" name="VALOR TOTAL " totalsRowFunction="sum" dataDxfId="62" totalsRowDxfId="61" dataCellStyle="Vírgula"/>
  </tableColumns>
  <tableStyleInfo name="TableStyleLight5" showFirstColumn="0" showLastColumn="0" showRowStripes="1" showColumnStripes="0"/>
</table>
</file>

<file path=xl/tables/table3.xml><?xml version="1.0" encoding="utf-8"?>
<table xmlns="http://schemas.openxmlformats.org/spreadsheetml/2006/main" id="22" name="Pessoal_Dados" displayName="Pessoal_Dados" ref="A3:M36" totalsRowCount="1" headerRowDxfId="310" dataDxfId="309" totalsRowDxfId="308">
  <tableColumns count="13">
    <tableColumn id="1" name="ID" dataDxfId="307" totalsRowDxfId="306"/>
    <tableColumn id="2" name="PROFISSIONAL" dataDxfId="305" totalsRowDxfId="304"/>
    <tableColumn id="20" name="QUANT" totalsRowFunction="sum" dataDxfId="303" totalsRowDxfId="302" dataCellStyle="Vírgula"/>
    <tableColumn id="5" name="PISO SALARIAL" dataDxfId="301" totalsRowDxfId="300"/>
    <tableColumn id="6" name="INSALUBRIDADE " dataDxfId="299" totalsRowDxfId="298"/>
    <tableColumn id="7" name="GRATIFICAÇÃO" dataDxfId="297" totalsRowDxfId="296"/>
    <tableColumn id="8" name="ADIC. NOTURNO + DSR + FERIADO REMUNERADO" dataDxfId="295" totalsRowDxfId="294"/>
    <tableColumn id="9" name="REMUNERAÇÃO" dataDxfId="293" totalsRowDxfId="292" dataCellStyle="Vírgula">
      <calculatedColumnFormula>SUM(Pessoal_Dados[[#This Row],[PISO SALARIAL]:[ADIC. NOTURNO + DSR + FERIADO REMUNERADO]])</calculatedColumnFormula>
    </tableColumn>
    <tableColumn id="10" name="ENCARGOS - SOCIAIS E TRABALHISTAS" dataDxfId="291" totalsRowDxfId="290"/>
    <tableColumn id="11" name="GASTO COM MOB" dataDxfId="289" totalsRowDxfId="288" dataCellStyle="Vírgula"/>
    <tableColumn id="12" name="CUSTOS COM INSUMOS" dataDxfId="287" totalsRowDxfId="286"/>
    <tableColumn id="13" name="OUTROS INSUMOS" dataDxfId="285" totalsRowDxfId="284"/>
    <tableColumn id="14" name="GASTO INDVIDUAL TOTAL" dataDxfId="283" totalsRowDxfId="282" dataCellStyle="Vírgula">
      <calculatedColumnFormula>Pessoal_Dados[[#This Row],[OUTROS INSUMOS]]+Pessoal_Dados[[#This Row],[CUSTOS COM INSUMOS]]+Pessoal_Dados[[#This Row],[GASTO COM MOB]]+Pessoal_Dados[[#This Row],[ENCARGOS - SOCIAIS E TRABALHISTAS]]+Pessoal_Dados[[#This Row],[REMUNERAÇÃO]]</calculatedColumnFormula>
    </tableColumn>
  </tableColumns>
  <tableStyleInfo name="TableStyleLight4" showFirstColumn="0" showLastColumn="0" showRowStripes="1" showColumnStripes="0"/>
</table>
</file>

<file path=xl/tables/table30.xml><?xml version="1.0" encoding="utf-8"?>
<table xmlns="http://schemas.openxmlformats.org/spreadsheetml/2006/main" id="4" name="Montag_Consult_Odonto_Dados" displayName="Montag_Consult_Odonto_Dados" ref="A3:C16" totalsRowCount="1" headerRowDxfId="60" dataDxfId="59">
  <tableColumns count="3">
    <tableColumn id="1" name="ID" dataDxfId="58" totalsRowDxfId="57"/>
    <tableColumn id="3" name="DISCRIMINAÇÃO" dataDxfId="56" totalsRowDxfId="55"/>
    <tableColumn id="9" name="QUANT " totalsRowFunction="custom" dataDxfId="54" totalsRowDxfId="53">
      <totalsRowFormula>SUBTOTAL(109,C4:C15)</totalsRowFormula>
    </tableColumn>
  </tableColumns>
  <tableStyleInfo name="TableStyleLight6" showFirstColumn="0" showLastColumn="0" showRowStripes="1" showColumnStripes="0"/>
</table>
</file>

<file path=xl/tables/table31.xml><?xml version="1.0" encoding="utf-8"?>
<table xmlns="http://schemas.openxmlformats.org/spreadsheetml/2006/main" id="31" name="Montag_Consult_Odonto_Dental_Cremer" displayName="Montag_Consult_Odonto_Dental_Cremer" ref="D3:E16" totalsRowCount="1" headerRowDxfId="52" dataDxfId="51" headerRowCellStyle="Vírgula" dataCellStyle="Vírgula" totalsRowCellStyle="Vírgula">
  <tableColumns count="2">
    <tableColumn id="1" name="VALOR UNID" dataDxfId="50" totalsRowDxfId="49" dataCellStyle="Vírgula"/>
    <tableColumn id="4" name="VALOR TOTAL " totalsRowFunction="sum" dataDxfId="48" totalsRowDxfId="47" dataCellStyle="Vírgula"/>
  </tableColumns>
  <tableStyleInfo name="TableStyleLight5" showFirstColumn="0" showLastColumn="0" showRowStripes="1" showColumnStripes="0"/>
</table>
</file>

<file path=xl/tables/table32.xml><?xml version="1.0" encoding="utf-8"?>
<table xmlns="http://schemas.openxmlformats.org/spreadsheetml/2006/main" id="58" name="Montag_Central_Ambul_Dados" displayName="Montag_Central_Ambul_Dados" ref="A3:C16" totalsRowCount="1" headerRowDxfId="46" dataDxfId="45">
  <tableColumns count="3">
    <tableColumn id="1" name="ID" dataDxfId="44" totalsRowDxfId="43"/>
    <tableColumn id="3" name="DISCRIMINAÇÃO" dataDxfId="42" totalsRowDxfId="41"/>
    <tableColumn id="9" name="QUANT " totalsRowFunction="custom" dataDxfId="40" totalsRowDxfId="39">
      <totalsRowFormula>SUBTOTAL(109,C4:C15)</totalsRowFormula>
    </tableColumn>
  </tableColumns>
  <tableStyleInfo name="TableStyleLight6" showFirstColumn="0" showLastColumn="0" showRowStripes="1" showColumnStripes="0"/>
</table>
</file>

<file path=xl/tables/table33.xml><?xml version="1.0" encoding="utf-8"?>
<table xmlns="http://schemas.openxmlformats.org/spreadsheetml/2006/main" id="59" name="Montag_Central_Ambul_Diversos" displayName="Montag_Central_Ambul_Diversos" ref="D3:E16" totalsRowCount="1" headerRowDxfId="38" dataDxfId="37" headerRowCellStyle="Vírgula" dataCellStyle="Vírgula" totalsRowCellStyle="Vírgula">
  <tableColumns count="2">
    <tableColumn id="1" name="VALOR UNID" dataDxfId="36" totalsRowDxfId="35" dataCellStyle="Vírgula"/>
    <tableColumn id="4" name="VALOR TOTAL" totalsRowFunction="sum" dataDxfId="34" totalsRowDxfId="33" dataCellStyle="Vírgula"/>
  </tableColumns>
  <tableStyleInfo name="TableStyleLight5" showFirstColumn="0" showLastColumn="0" showRowStripes="1" showColumnStripes="0"/>
</table>
</file>

<file path=xl/tables/table34.xml><?xml version="1.0" encoding="utf-8"?>
<table xmlns="http://schemas.openxmlformats.org/spreadsheetml/2006/main" id="3" name="Montag_Ambulatório_Dados" displayName="Montag_Ambulatório_Dados" ref="A3:E21" totalsRowCount="1" headerRowDxfId="32" dataDxfId="31">
  <tableColumns count="5">
    <tableColumn id="1" name="ID" dataDxfId="30" totalsRowDxfId="29"/>
    <tableColumn id="3" name="DISCRIMINAÇÃO" dataDxfId="28" totalsRowDxfId="27"/>
    <tableColumn id="9" name="PSC" totalsRowFunction="custom" dataDxfId="26" totalsRowDxfId="25">
      <totalsRowFormula>SUBTOTAL(109,C4:C20)</totalsRowFormula>
    </tableColumn>
    <tableColumn id="10" name="PSVV" totalsRowFunction="custom" dataDxfId="24" totalsRowDxfId="23">
      <totalsRowFormula>SUBTOTAL(109,D4:D20)</totalsRowFormula>
    </tableColumn>
    <tableColumn id="11" name="QUANT" totalsRowFunction="custom" dataDxfId="22" totalsRowDxfId="21">
      <calculatedColumnFormula>Montag_Ambulatório_Dados[[#This Row],[PSC]]+Montag_Ambulatório_Dados[[#This Row],[PSVV]]</calculatedColumnFormula>
      <totalsRowFormula>SUBTOTAL(109,E4:E20)</totalsRowFormula>
    </tableColumn>
  </tableColumns>
  <tableStyleInfo name="TableStyleLight6" showFirstColumn="0" showLastColumn="0" showRowStripes="1" showColumnStripes="0"/>
</table>
</file>

<file path=xl/tables/table35.xml><?xml version="1.0" encoding="utf-8"?>
<table xmlns="http://schemas.openxmlformats.org/spreadsheetml/2006/main" id="6" name="Montag_Ambulatório_Internet" displayName="Montag_Ambulatório_Internet" ref="F3:G21" totalsRowCount="1" headerRowDxfId="20" dataDxfId="19">
  <tableColumns count="2">
    <tableColumn id="1" name="VALOR UNID" dataDxfId="18" totalsRowDxfId="17"/>
    <tableColumn id="4" name="VALOR TOTAL" totalsRowFunction="sum" dataDxfId="16" totalsRowDxfId="15">
      <calculatedColumnFormula>Montag_Ambulatório_Internet[[#This Row],[VALOR UNID]]*Montag_Ambulatório_Dados[[#This Row],[QUANT]]</calculatedColumnFormula>
    </tableColumn>
  </tableColumns>
  <tableStyleInfo name="TableStyleLight5" showFirstColumn="0" showLastColumn="0" showRowStripes="1" showColumnStripes="0"/>
</table>
</file>

<file path=xl/tables/table36.xml><?xml version="1.0" encoding="utf-8"?>
<table xmlns="http://schemas.openxmlformats.org/spreadsheetml/2006/main" id="7" name="Obras_Dados" displayName="Obras_Dados" ref="A3:D10" totalsRowCount="1" headerRowDxfId="14">
  <tableColumns count="4">
    <tableColumn id="1" name="ID" dataDxfId="13" totalsRowDxfId="12"/>
    <tableColumn id="3" name="DISCRIMINAÇÃO" dataDxfId="11" totalsRowDxfId="10"/>
    <tableColumn id="2" name="DESCRIÇÃO DETALHADA" dataDxfId="9" totalsRowDxfId="8"/>
    <tableColumn id="9" name="MEDIDAS ESPECÍFICAS (m²)" totalsRowFunction="sum" dataDxfId="7" totalsRowDxfId="6"/>
  </tableColumns>
  <tableStyleInfo name="TableStyleLight6" showFirstColumn="0" showLastColumn="0" showRowStripes="1" showColumnStripes="0"/>
</table>
</file>

<file path=xl/tables/table37.xml><?xml version="1.0" encoding="utf-8"?>
<table xmlns="http://schemas.openxmlformats.org/spreadsheetml/2006/main" id="54" name="Obras_CUB" displayName="Obras_CUB" ref="E3:F10" totalsRowCount="1" headerRowDxfId="5" dataDxfId="4" headerRowCellStyle="Vírgula" dataCellStyle="Vírgula" totalsRowCellStyle="Vírgula">
  <tableColumns count="2">
    <tableColumn id="2" name="VALOR UNIT (m²)" totalsRowFunction="sum" dataDxfId="3" totalsRowDxfId="2" dataCellStyle="Vírgula"/>
    <tableColumn id="4" name="VALOR TOTAL" totalsRowFunction="custom" dataDxfId="1" totalsRowDxfId="0" dataCellStyle="Vírgula">
      <totalsRowFormula>SUM(F4:F9)</totalsRowFormula>
    </tableColumn>
  </tableColumns>
  <tableStyleInfo name="TableStyleLight5" showFirstColumn="0" showLastColumn="0" showRowStripes="1" showColumnStripes="0"/>
</table>
</file>

<file path=xl/tables/table4.xml><?xml version="1.0" encoding="utf-8"?>
<table xmlns="http://schemas.openxmlformats.org/spreadsheetml/2006/main" id="68" name="Pessoal_Valores" displayName="Pessoal_Valores" ref="N3:O36" totalsRowCount="1" headerRowDxfId="281" dataDxfId="280" totalsRowDxfId="279">
  <tableColumns count="2">
    <tableColumn id="1" name="VALOR MÊS" totalsRowFunction="custom" dataDxfId="278" totalsRowDxfId="277" dataCellStyle="Vírgula">
      <calculatedColumnFormula>Pessoal_Dados[[#This Row],[GASTO INDVIDUAL TOTAL]]+Pessoal_Dados[[#This Row],[REMUNERAÇÃO]]</calculatedColumnFormula>
      <totalsRowFormula>SUBTOTAL(109,N4:N35)</totalsRowFormula>
    </tableColumn>
    <tableColumn id="4" name="VALOR ANO" totalsRowFunction="custom" dataDxfId="276" totalsRowDxfId="275" dataCellStyle="Vírgula">
      <calculatedColumnFormula>Pessoal_Valores[[#This Row],[VALOR MÊS]]*12</calculatedColumnFormula>
      <totalsRowFormula>SUBTOTAL(109,O4:O35)</totalsRowFormula>
    </tableColumn>
  </tableColumns>
  <tableStyleInfo name="TableStyleLight7" showFirstColumn="0" showLastColumn="0" showRowStripes="1" showColumnStripes="0"/>
</table>
</file>

<file path=xl/tables/table5.xml><?xml version="1.0" encoding="utf-8"?>
<table xmlns="http://schemas.openxmlformats.org/spreadsheetml/2006/main" id="13" name="Medicam_Dados" displayName="Medicam_Dados" ref="A3:G212" totalsRowCount="1" headerRowDxfId="274" dataDxfId="273">
  <tableColumns count="7">
    <tableColumn id="1" name="ID" dataDxfId="272" totalsRowDxfId="271"/>
    <tableColumn id="3" name="TIPO DE MEDICAMENTO" dataDxfId="270" totalsRowDxfId="269"/>
    <tableColumn id="5" name="MEDICAMENTO" dataDxfId="268" totalsRowDxfId="267"/>
    <tableColumn id="13" name="ESPECIFICAÇÃO" dataDxfId="266" totalsRowDxfId="265"/>
    <tableColumn id="7" name="APRESENTAÇÃO FARMACÊUTICA/ ESPECIFICAÇÃO" dataDxfId="264" totalsRowDxfId="263"/>
    <tableColumn id="8" name="FORMA FARMACÊUTICA" dataDxfId="262" totalsRowDxfId="261"/>
    <tableColumn id="9" name="QUANT" totalsRowFunction="custom" dataDxfId="260" totalsRowDxfId="259" dataCellStyle="Vírgula">
      <totalsRowFormula>SUBTOTAL(109,G4:G211)</totalsRowFormula>
    </tableColumn>
  </tableColumns>
  <tableStyleInfo name="TableStyleLight4" showFirstColumn="0" showLastColumn="0" showRowStripes="1" showColumnStripes="0"/>
</table>
</file>

<file path=xl/tables/table6.xml><?xml version="1.0" encoding="utf-8"?>
<table xmlns="http://schemas.openxmlformats.org/spreadsheetml/2006/main" id="17" name="Medicam_Nun_e_Gomes" displayName="Medicam_Nun_e_Gomes" ref="H3:J212" totalsRowCount="1" headerRowDxfId="258" dataDxfId="257">
  <tableColumns count="3">
    <tableColumn id="8" name="VALOR UNID" dataDxfId="256" totalsRowDxfId="255"/>
    <tableColumn id="2" name="VALOR MÊS " totalsRowFunction="custom" dataDxfId="254" totalsRowDxfId="253" dataCellStyle="Vírgula">
      <calculatedColumnFormula>Medicam_Nun_e_Gomes[[#This Row],[VALOR UNID]]*Medicam_Dados[[#This Row],[QUANT]]</calculatedColumnFormula>
      <totalsRowFormula>SUBTOTAL(109,I4:I211)</totalsRowFormula>
    </tableColumn>
    <tableColumn id="5" name="VALOR ANO" totalsRowFunction="custom" dataDxfId="252" totalsRowDxfId="251">
      <calculatedColumnFormula>Medicam_Nun_e_Gomes[[#This Row],[VALOR MÊS ]]*12</calculatedColumnFormula>
      <totalsRowFormula>SUBTOTAL(109,J4:J211)</totalsRowFormula>
    </tableColumn>
  </tableColumns>
  <tableStyleInfo name="TableStyleLight2" showFirstColumn="0" showLastColumn="0" showRowStripes="1" showColumnStripes="0"/>
</table>
</file>

<file path=xl/tables/table7.xml><?xml version="1.0" encoding="utf-8"?>
<table xmlns="http://schemas.openxmlformats.org/spreadsheetml/2006/main" id="1" name="Mat_Consum_Dados" displayName="Mat_Consum_Dados" ref="A3:G147" totalsRowCount="1" headerRowDxfId="250" dataDxfId="249">
  <tableColumns count="7">
    <tableColumn id="1" name="ID" dataDxfId="248" totalsRowDxfId="247"/>
    <tableColumn id="6" name="DESCRIÇÃO" dataDxfId="246" totalsRowDxfId="245"/>
    <tableColumn id="3" name="TIPO DE MATERIAL" dataDxfId="244" totalsRowDxfId="243"/>
    <tableColumn id="5" name="MATERIAL" dataDxfId="242" totalsRowDxfId="241"/>
    <tableColumn id="13" name="ESPECIFICAÇÃO" dataDxfId="240" totalsRowDxfId="239"/>
    <tableColumn id="7" name="UNIDADE" dataDxfId="238" totalsRowDxfId="237"/>
    <tableColumn id="9" name="QUANT " totalsRowFunction="custom" dataDxfId="236" totalsRowDxfId="235">
      <totalsRowFormula>SUBTOTAL(109,G4:G146)</totalsRowFormula>
    </tableColumn>
  </tableColumns>
  <tableStyleInfo name="TableStyleLight4" showFirstColumn="0" showLastColumn="0" showRowStripes="1" showColumnStripes="0"/>
</table>
</file>

<file path=xl/tables/table8.xml><?xml version="1.0" encoding="utf-8"?>
<table xmlns="http://schemas.openxmlformats.org/spreadsheetml/2006/main" id="5" name="Mat_Consum_Nun_e_Gomes" displayName="Mat_Consum_Nun_e_Gomes" ref="H3:J147" totalsRowCount="1" headerRowDxfId="234" dataDxfId="233">
  <tableColumns count="3">
    <tableColumn id="1" name="VALOR UNID" dataDxfId="232" totalsRowDxfId="231"/>
    <tableColumn id="4" name="VALOR MÊS" totalsRowFunction="custom" dataDxfId="230" totalsRowDxfId="229">
      <calculatedColumnFormula>Mat_Consum_Nun_e_Gomes[[#This Row],[VALOR UNID]]*Mat_Consum_Dados[[#This Row],[QUANT ]]</calculatedColumnFormula>
      <totalsRowFormula>SUBTOTAL(109,I4:I146)</totalsRowFormula>
    </tableColumn>
    <tableColumn id="7" name="VALOR ANO" totalsRowFunction="custom" dataDxfId="228" totalsRowDxfId="227">
      <calculatedColumnFormula>Mat_Consum_Nun_e_Gomes[[#This Row],[VALOR MÊS]]*12</calculatedColumnFormula>
      <totalsRowFormula>SUBTOTAL(109,J4:J146)</totalsRowFormula>
    </tableColumn>
  </tableColumns>
  <tableStyleInfo name="TableStyleLight2" showFirstColumn="0" showLastColumn="0" showRowStripes="1" showColumnStripes="0"/>
</table>
</file>

<file path=xl/tables/table9.xml><?xml version="1.0" encoding="utf-8"?>
<table xmlns="http://schemas.openxmlformats.org/spreadsheetml/2006/main" id="21" name="Mat_Consumo_CODAP" displayName="Mat_Consumo_CODAP" ref="L3:L156" totalsRowCount="1" headerRowDxfId="226" dataDxfId="225">
  <tableColumns count="1">
    <tableColumn id="9" name="% DESCONTO" dataDxfId="224" totalsRowDxfId="223"/>
  </tableColumns>
  <tableStyleInfo name="TableStyleLight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09"/>
  <sheetViews>
    <sheetView showGridLines="0" zoomScale="85" zoomScaleNormal="85" zoomScaleSheetLayoutView="50" workbookViewId="0">
      <selection activeCell="C10" sqref="C10"/>
    </sheetView>
  </sheetViews>
  <sheetFormatPr defaultColWidth="8.85546875" defaultRowHeight="12" customHeight="1" x14ac:dyDescent="0.25"/>
  <cols>
    <col min="1" max="2" width="8.85546875" style="39"/>
    <col min="3" max="3" width="47.42578125" style="39" customWidth="1"/>
    <col min="4" max="4" width="9.28515625" style="39" customWidth="1"/>
    <col min="5" max="5" width="9.140625" style="39" customWidth="1"/>
    <col min="6" max="16384" width="8.85546875" style="39"/>
  </cols>
  <sheetData>
    <row r="1" spans="6:31" ht="12" customHeight="1" x14ac:dyDescent="0.25">
      <c r="F1" s="86"/>
      <c r="G1" s="50"/>
      <c r="H1" s="272" t="s">
        <v>1394</v>
      </c>
      <c r="I1" s="273"/>
      <c r="J1" s="273"/>
      <c r="K1" s="273"/>
      <c r="L1" s="273"/>
      <c r="M1" s="273"/>
      <c r="N1" s="50"/>
      <c r="O1" s="51"/>
      <c r="P1" s="52"/>
      <c r="Q1" s="52"/>
      <c r="R1" s="52"/>
      <c r="S1" s="52"/>
      <c r="T1" s="52"/>
      <c r="U1" s="52"/>
      <c r="V1" s="53"/>
      <c r="W1" s="79"/>
      <c r="X1" s="79"/>
      <c r="Y1" s="79"/>
      <c r="Z1" s="79"/>
      <c r="AA1" s="79"/>
      <c r="AB1" s="79"/>
      <c r="AC1" s="79"/>
      <c r="AD1" s="79"/>
    </row>
    <row r="2" spans="6:31" ht="12" customHeight="1" x14ac:dyDescent="0.25">
      <c r="F2" s="86"/>
      <c r="G2" s="54"/>
      <c r="H2" s="273"/>
      <c r="I2" s="273"/>
      <c r="J2" s="273"/>
      <c r="K2" s="273"/>
      <c r="L2" s="273"/>
      <c r="M2" s="273"/>
      <c r="N2" s="54"/>
      <c r="O2" s="55"/>
      <c r="P2" s="56"/>
      <c r="Q2" s="56"/>
      <c r="R2" s="56"/>
      <c r="S2" s="56"/>
      <c r="T2" s="56"/>
      <c r="U2" s="56"/>
      <c r="V2" s="57"/>
      <c r="W2" s="73"/>
      <c r="X2" s="73"/>
      <c r="Y2" s="73"/>
      <c r="Z2" s="73"/>
      <c r="AA2" s="73"/>
      <c r="AB2" s="73"/>
      <c r="AC2" s="73"/>
      <c r="AD2" s="80"/>
      <c r="AE2" s="58"/>
    </row>
    <row r="3" spans="6:31" ht="12" customHeight="1" x14ac:dyDescent="0.25">
      <c r="F3" s="86"/>
      <c r="G3" s="56"/>
      <c r="H3" s="56"/>
      <c r="I3" s="56"/>
      <c r="J3" s="56"/>
      <c r="K3" s="56"/>
      <c r="L3" s="56"/>
      <c r="M3" s="56"/>
      <c r="N3" s="56"/>
      <c r="O3" s="55"/>
      <c r="P3" s="56"/>
      <c r="Q3" s="56"/>
      <c r="R3" s="56"/>
      <c r="S3" s="56"/>
      <c r="T3" s="56"/>
      <c r="U3" s="56"/>
      <c r="V3" s="57"/>
      <c r="W3" s="73"/>
      <c r="X3" s="73"/>
      <c r="Y3" s="73"/>
      <c r="Z3" s="73"/>
      <c r="AA3" s="73"/>
      <c r="AB3" s="73"/>
      <c r="AC3" s="73"/>
      <c r="AD3" s="80"/>
      <c r="AE3" s="58"/>
    </row>
    <row r="4" spans="6:31" ht="12" customHeight="1" x14ac:dyDescent="0.25">
      <c r="F4" s="86"/>
      <c r="G4" s="56"/>
      <c r="H4" s="103"/>
      <c r="I4" s="56"/>
      <c r="J4" s="56"/>
      <c r="K4" s="56"/>
      <c r="L4" s="56"/>
      <c r="M4" s="56"/>
      <c r="N4" s="56"/>
      <c r="O4" s="55"/>
      <c r="P4" s="189"/>
      <c r="Q4" s="189"/>
      <c r="R4" s="189"/>
      <c r="S4" s="189"/>
      <c r="T4" s="189"/>
      <c r="U4" s="189"/>
      <c r="V4" s="57"/>
      <c r="W4" s="73"/>
      <c r="X4" s="104" t="s">
        <v>1545</v>
      </c>
      <c r="Y4" s="90"/>
      <c r="Z4" s="90"/>
      <c r="AA4" s="90"/>
      <c r="AB4" s="90"/>
      <c r="AC4" s="90"/>
      <c r="AD4" s="80"/>
      <c r="AE4" s="58"/>
    </row>
    <row r="5" spans="6:31" ht="12" customHeight="1" x14ac:dyDescent="0.25">
      <c r="F5" s="86"/>
      <c r="G5" s="56"/>
      <c r="H5" s="103" t="s">
        <v>1589</v>
      </c>
      <c r="I5" s="56"/>
      <c r="J5" s="56"/>
      <c r="K5" s="56"/>
      <c r="L5" s="56"/>
      <c r="M5" s="56"/>
      <c r="N5" s="88"/>
      <c r="O5" s="55"/>
      <c r="P5" s="99" t="s">
        <v>1681</v>
      </c>
      <c r="Q5" s="189"/>
      <c r="R5" s="189"/>
      <c r="S5" s="189"/>
      <c r="T5" s="189"/>
      <c r="U5" s="189"/>
      <c r="V5" s="57"/>
      <c r="W5" s="73"/>
      <c r="X5" s="258" t="s">
        <v>1546</v>
      </c>
      <c r="Y5" s="258"/>
      <c r="Z5" s="258"/>
      <c r="AA5" s="258"/>
      <c r="AB5" s="258"/>
      <c r="AC5" s="258"/>
      <c r="AD5" s="80"/>
      <c r="AE5" s="58"/>
    </row>
    <row r="6" spans="6:31" ht="12" customHeight="1" x14ac:dyDescent="0.25">
      <c r="F6" s="86"/>
      <c r="G6" s="56"/>
      <c r="H6" s="260" t="s">
        <v>1666</v>
      </c>
      <c r="I6" s="263"/>
      <c r="J6" s="263"/>
      <c r="K6" s="263"/>
      <c r="L6" s="263"/>
      <c r="M6" s="263"/>
      <c r="N6" s="88"/>
      <c r="O6" s="55"/>
      <c r="P6" s="189"/>
      <c r="Q6" s="189"/>
      <c r="R6" s="189"/>
      <c r="S6" s="189"/>
      <c r="T6" s="189"/>
      <c r="U6" s="189"/>
      <c r="V6" s="57"/>
      <c r="W6" s="73"/>
      <c r="X6" s="258"/>
      <c r="Y6" s="258"/>
      <c r="Z6" s="258"/>
      <c r="AA6" s="258"/>
      <c r="AB6" s="258"/>
      <c r="AC6" s="258"/>
      <c r="AD6" s="80"/>
      <c r="AE6" s="58"/>
    </row>
    <row r="7" spans="6:31" ht="12" customHeight="1" x14ac:dyDescent="0.25">
      <c r="F7" s="86"/>
      <c r="G7" s="56"/>
      <c r="H7" s="260"/>
      <c r="I7" s="263"/>
      <c r="J7" s="263"/>
      <c r="K7" s="263"/>
      <c r="L7" s="263"/>
      <c r="M7" s="263"/>
      <c r="N7" s="88"/>
      <c r="O7" s="55"/>
      <c r="P7" s="260" t="s">
        <v>1682</v>
      </c>
      <c r="Q7" s="260"/>
      <c r="R7" s="260"/>
      <c r="S7" s="260"/>
      <c r="T7" s="260"/>
      <c r="U7" s="260"/>
      <c r="V7" s="57"/>
      <c r="W7" s="73"/>
      <c r="X7" s="258" t="s">
        <v>1683</v>
      </c>
      <c r="Y7" s="258"/>
      <c r="Z7" s="258"/>
      <c r="AA7" s="258"/>
      <c r="AB7" s="258"/>
      <c r="AC7" s="258"/>
      <c r="AD7" s="80"/>
      <c r="AE7" s="58"/>
    </row>
    <row r="8" spans="6:31" ht="12" customHeight="1" x14ac:dyDescent="0.25">
      <c r="F8" s="86"/>
      <c r="G8" s="56"/>
      <c r="H8" s="263"/>
      <c r="I8" s="263"/>
      <c r="J8" s="263"/>
      <c r="K8" s="263"/>
      <c r="L8" s="263"/>
      <c r="M8" s="263"/>
      <c r="N8" s="87"/>
      <c r="O8" s="55"/>
      <c r="P8" s="260"/>
      <c r="Q8" s="260"/>
      <c r="R8" s="260"/>
      <c r="S8" s="260"/>
      <c r="T8" s="260"/>
      <c r="U8" s="260"/>
      <c r="V8" s="57"/>
      <c r="W8" s="73"/>
      <c r="X8" s="258"/>
      <c r="Y8" s="258"/>
      <c r="Z8" s="258"/>
      <c r="AA8" s="258"/>
      <c r="AB8" s="258"/>
      <c r="AC8" s="258"/>
      <c r="AD8" s="80"/>
      <c r="AE8" s="58"/>
    </row>
    <row r="9" spans="6:31" ht="12" customHeight="1" x14ac:dyDescent="0.25">
      <c r="F9" s="86"/>
      <c r="G9" s="56"/>
      <c r="H9" s="260" t="s">
        <v>1403</v>
      </c>
      <c r="I9" s="260"/>
      <c r="J9" s="260"/>
      <c r="K9" s="260"/>
      <c r="L9" s="260"/>
      <c r="M9" s="260"/>
      <c r="N9" s="87"/>
      <c r="O9" s="55"/>
      <c r="P9" s="260"/>
      <c r="Q9" s="260"/>
      <c r="R9" s="260"/>
      <c r="S9" s="260"/>
      <c r="T9" s="260"/>
      <c r="U9" s="260"/>
      <c r="V9" s="57"/>
      <c r="W9" s="73"/>
      <c r="X9" s="258"/>
      <c r="Y9" s="258"/>
      <c r="Z9" s="258"/>
      <c r="AA9" s="258"/>
      <c r="AB9" s="258"/>
      <c r="AC9" s="258"/>
      <c r="AD9" s="80"/>
      <c r="AE9" s="58"/>
    </row>
    <row r="10" spans="6:31" ht="12" customHeight="1" x14ac:dyDescent="0.25">
      <c r="F10" s="86"/>
      <c r="G10" s="56"/>
      <c r="H10" s="260"/>
      <c r="I10" s="260"/>
      <c r="J10" s="260"/>
      <c r="K10" s="260"/>
      <c r="L10" s="260"/>
      <c r="M10" s="260"/>
      <c r="N10" s="87"/>
      <c r="O10" s="55"/>
      <c r="P10" s="260"/>
      <c r="Q10" s="260"/>
      <c r="R10" s="260"/>
      <c r="S10" s="260"/>
      <c r="T10" s="260"/>
      <c r="U10" s="260"/>
      <c r="V10" s="57"/>
      <c r="W10" s="73"/>
      <c r="X10" s="258"/>
      <c r="Y10" s="258"/>
      <c r="Z10" s="258"/>
      <c r="AA10" s="258"/>
      <c r="AB10" s="258"/>
      <c r="AC10" s="258"/>
      <c r="AD10" s="80"/>
      <c r="AE10" s="58"/>
    </row>
    <row r="11" spans="6:31" ht="12" customHeight="1" x14ac:dyDescent="0.25">
      <c r="F11" s="86"/>
      <c r="G11" s="56"/>
      <c r="H11" s="260"/>
      <c r="I11" s="260"/>
      <c r="J11" s="260"/>
      <c r="K11" s="260"/>
      <c r="L11" s="260"/>
      <c r="M11" s="260"/>
      <c r="N11" s="87"/>
      <c r="O11" s="55"/>
      <c r="P11" s="260" t="s">
        <v>1399</v>
      </c>
      <c r="Q11" s="260"/>
      <c r="R11" s="260"/>
      <c r="S11" s="260"/>
      <c r="T11" s="260"/>
      <c r="U11" s="260"/>
      <c r="V11" s="57"/>
      <c r="W11" s="73"/>
      <c r="X11" s="258"/>
      <c r="Y11" s="258"/>
      <c r="Z11" s="258"/>
      <c r="AA11" s="258"/>
      <c r="AB11" s="258"/>
      <c r="AC11" s="258"/>
      <c r="AD11" s="80"/>
      <c r="AE11" s="58"/>
    </row>
    <row r="12" spans="6:31" ht="12" customHeight="1" x14ac:dyDescent="0.25">
      <c r="F12" s="86"/>
      <c r="G12" s="56"/>
      <c r="H12" s="260"/>
      <c r="I12" s="260"/>
      <c r="J12" s="260"/>
      <c r="K12" s="260"/>
      <c r="L12" s="260"/>
      <c r="M12" s="260"/>
      <c r="N12" s="87"/>
      <c r="O12" s="55"/>
      <c r="P12" s="260"/>
      <c r="Q12" s="260"/>
      <c r="R12" s="260"/>
      <c r="S12" s="260"/>
      <c r="T12" s="260"/>
      <c r="U12" s="260"/>
      <c r="V12" s="57"/>
      <c r="W12" s="73"/>
      <c r="X12" s="90"/>
      <c r="Y12" s="90"/>
      <c r="Z12" s="90"/>
      <c r="AA12" s="90"/>
      <c r="AB12" s="90"/>
      <c r="AC12" s="90"/>
      <c r="AD12" s="80"/>
      <c r="AE12" s="58"/>
    </row>
    <row r="13" spans="6:31" ht="12" customHeight="1" x14ac:dyDescent="0.25">
      <c r="F13" s="86"/>
      <c r="G13" s="56"/>
      <c r="H13" s="260"/>
      <c r="I13" s="260"/>
      <c r="J13" s="260"/>
      <c r="K13" s="260"/>
      <c r="L13" s="260"/>
      <c r="M13" s="260"/>
      <c r="N13" s="87"/>
      <c r="O13" s="55"/>
      <c r="P13" s="260"/>
      <c r="Q13" s="260"/>
      <c r="R13" s="260"/>
      <c r="S13" s="260"/>
      <c r="T13" s="260"/>
      <c r="U13" s="260"/>
      <c r="V13" s="57"/>
      <c r="W13" s="73"/>
      <c r="X13" s="104" t="s">
        <v>1547</v>
      </c>
      <c r="Y13" s="90"/>
      <c r="Z13" s="90"/>
      <c r="AA13" s="90"/>
      <c r="AB13" s="90"/>
      <c r="AC13" s="90"/>
      <c r="AD13" s="80"/>
      <c r="AE13" s="58"/>
    </row>
    <row r="14" spans="6:31" ht="12" customHeight="1" x14ac:dyDescent="0.25">
      <c r="F14" s="86"/>
      <c r="G14" s="56"/>
      <c r="H14" s="260"/>
      <c r="I14" s="260"/>
      <c r="J14" s="260"/>
      <c r="K14" s="260"/>
      <c r="L14" s="260"/>
      <c r="M14" s="260"/>
      <c r="N14" s="87"/>
      <c r="O14" s="55"/>
      <c r="P14" s="260"/>
      <c r="Q14" s="260"/>
      <c r="R14" s="260"/>
      <c r="S14" s="260"/>
      <c r="T14" s="260"/>
      <c r="U14" s="260"/>
      <c r="V14" s="57"/>
      <c r="W14" s="73"/>
      <c r="X14" s="258" t="s">
        <v>1548</v>
      </c>
      <c r="Y14" s="258"/>
      <c r="Z14" s="258"/>
      <c r="AA14" s="258"/>
      <c r="AB14" s="258"/>
      <c r="AC14" s="258"/>
      <c r="AD14" s="80"/>
      <c r="AE14" s="58"/>
    </row>
    <row r="15" spans="6:31" ht="12" customHeight="1" x14ac:dyDescent="0.25">
      <c r="F15" s="86"/>
      <c r="G15" s="56"/>
      <c r="H15" s="260"/>
      <c r="I15" s="260"/>
      <c r="J15" s="260"/>
      <c r="K15" s="260"/>
      <c r="L15" s="260"/>
      <c r="M15" s="260"/>
      <c r="N15" s="87"/>
      <c r="O15" s="55"/>
      <c r="P15" s="189"/>
      <c r="Q15" s="189"/>
      <c r="R15" s="189"/>
      <c r="S15" s="189"/>
      <c r="T15" s="189"/>
      <c r="U15" s="189"/>
      <c r="V15" s="57"/>
      <c r="W15" s="73"/>
      <c r="X15" s="258"/>
      <c r="Y15" s="258"/>
      <c r="Z15" s="258"/>
      <c r="AA15" s="258"/>
      <c r="AB15" s="258"/>
      <c r="AC15" s="258"/>
      <c r="AD15" s="80"/>
      <c r="AE15" s="58"/>
    </row>
    <row r="16" spans="6:31" ht="12" customHeight="1" x14ac:dyDescent="0.25">
      <c r="F16" s="86"/>
      <c r="G16" s="56"/>
      <c r="H16" s="260"/>
      <c r="I16" s="260"/>
      <c r="J16" s="260"/>
      <c r="K16" s="260"/>
      <c r="L16" s="260"/>
      <c r="M16" s="260"/>
      <c r="N16" s="87"/>
      <c r="O16" s="55"/>
      <c r="P16" s="189"/>
      <c r="Q16" s="189"/>
      <c r="R16" s="189"/>
      <c r="S16" s="189"/>
      <c r="T16" s="189"/>
      <c r="U16" s="189"/>
      <c r="V16" s="57"/>
      <c r="W16" s="73"/>
      <c r="X16" s="258" t="s">
        <v>1684</v>
      </c>
      <c r="Y16" s="258"/>
      <c r="Z16" s="258"/>
      <c r="AA16" s="258"/>
      <c r="AB16" s="258"/>
      <c r="AC16" s="258"/>
      <c r="AD16" s="80"/>
      <c r="AE16" s="58"/>
    </row>
    <row r="17" spans="2:31" ht="12" customHeight="1" x14ac:dyDescent="0.25">
      <c r="F17" s="86"/>
      <c r="G17" s="56"/>
      <c r="H17" s="260"/>
      <c r="I17" s="260"/>
      <c r="J17" s="260"/>
      <c r="K17" s="260"/>
      <c r="L17" s="260"/>
      <c r="M17" s="260"/>
      <c r="N17" s="87"/>
      <c r="O17" s="55"/>
      <c r="P17" s="261" t="s">
        <v>1519</v>
      </c>
      <c r="Q17" s="261"/>
      <c r="R17" s="261"/>
      <c r="S17" s="261"/>
      <c r="T17" s="261"/>
      <c r="U17" s="261"/>
      <c r="V17" s="57"/>
      <c r="W17" s="73"/>
      <c r="X17" s="258"/>
      <c r="Y17" s="258"/>
      <c r="Z17" s="258"/>
      <c r="AA17" s="258"/>
      <c r="AB17" s="258"/>
      <c r="AC17" s="258"/>
      <c r="AD17" s="80"/>
      <c r="AE17" s="58"/>
    </row>
    <row r="18" spans="2:31" ht="12" customHeight="1" x14ac:dyDescent="0.25">
      <c r="B18" s="275" t="s">
        <v>1392</v>
      </c>
      <c r="C18" s="276"/>
      <c r="D18" s="277"/>
      <c r="F18" s="86"/>
      <c r="G18" s="56"/>
      <c r="H18" s="260"/>
      <c r="I18" s="260"/>
      <c r="J18" s="260"/>
      <c r="K18" s="260"/>
      <c r="L18" s="260"/>
      <c r="M18" s="260"/>
      <c r="N18" s="87"/>
      <c r="O18" s="55"/>
      <c r="P18" s="261"/>
      <c r="Q18" s="261"/>
      <c r="R18" s="261"/>
      <c r="S18" s="261"/>
      <c r="T18" s="261"/>
      <c r="U18" s="261"/>
      <c r="V18" s="57"/>
      <c r="W18" s="73"/>
      <c r="X18" s="258"/>
      <c r="Y18" s="258"/>
      <c r="Z18" s="258"/>
      <c r="AA18" s="258"/>
      <c r="AB18" s="258"/>
      <c r="AC18" s="258"/>
      <c r="AD18" s="80"/>
      <c r="AE18" s="58"/>
    </row>
    <row r="19" spans="2:31" ht="12" customHeight="1" x14ac:dyDescent="0.25">
      <c r="B19" s="278"/>
      <c r="C19" s="279"/>
      <c r="D19" s="280"/>
      <c r="F19" s="86"/>
      <c r="G19" s="56"/>
      <c r="H19" s="260"/>
      <c r="I19" s="260"/>
      <c r="J19" s="260"/>
      <c r="K19" s="260"/>
      <c r="L19" s="260"/>
      <c r="M19" s="260"/>
      <c r="N19" s="87"/>
      <c r="O19" s="55"/>
      <c r="P19" s="261"/>
      <c r="Q19" s="261"/>
      <c r="R19" s="261"/>
      <c r="S19" s="261"/>
      <c r="T19" s="261"/>
      <c r="U19" s="261"/>
      <c r="V19" s="57"/>
      <c r="W19" s="73"/>
      <c r="X19" s="258"/>
      <c r="Y19" s="258"/>
      <c r="Z19" s="258"/>
      <c r="AA19" s="258"/>
      <c r="AB19" s="258"/>
      <c r="AC19" s="258"/>
      <c r="AD19" s="80"/>
      <c r="AE19" s="58"/>
    </row>
    <row r="20" spans="2:31" ht="12" customHeight="1" x14ac:dyDescent="0.25">
      <c r="B20" s="114"/>
      <c r="C20" s="68"/>
      <c r="D20" s="115"/>
      <c r="F20" s="86"/>
      <c r="G20" s="56"/>
      <c r="H20" s="260"/>
      <c r="I20" s="260"/>
      <c r="J20" s="260"/>
      <c r="K20" s="260"/>
      <c r="L20" s="260"/>
      <c r="M20" s="260"/>
      <c r="N20" s="87"/>
      <c r="O20" s="55"/>
      <c r="P20" s="261"/>
      <c r="Q20" s="261"/>
      <c r="R20" s="261"/>
      <c r="S20" s="261"/>
      <c r="T20" s="261"/>
      <c r="U20" s="261"/>
      <c r="V20" s="57"/>
      <c r="W20" s="73"/>
      <c r="X20" s="258"/>
      <c r="Y20" s="258"/>
      <c r="Z20" s="258"/>
      <c r="AA20" s="258"/>
      <c r="AB20" s="258"/>
      <c r="AC20" s="258"/>
      <c r="AD20" s="80"/>
      <c r="AE20" s="58"/>
    </row>
    <row r="21" spans="2:31" ht="12" customHeight="1" x14ac:dyDescent="0.25">
      <c r="B21" s="114"/>
      <c r="C21" s="264" t="s">
        <v>1696</v>
      </c>
      <c r="D21" s="116"/>
      <c r="F21" s="86"/>
      <c r="G21" s="56"/>
      <c r="H21" s="260"/>
      <c r="I21" s="260"/>
      <c r="J21" s="260"/>
      <c r="K21" s="260"/>
      <c r="L21" s="260"/>
      <c r="M21" s="260"/>
      <c r="N21" s="87"/>
      <c r="O21" s="55"/>
      <c r="P21" s="189"/>
      <c r="Q21" s="189"/>
      <c r="R21" s="189"/>
      <c r="S21" s="189"/>
      <c r="T21" s="189"/>
      <c r="U21" s="189"/>
      <c r="V21" s="57"/>
      <c r="W21" s="73"/>
      <c r="X21" s="258"/>
      <c r="Y21" s="258"/>
      <c r="Z21" s="258"/>
      <c r="AA21" s="258"/>
      <c r="AB21" s="258"/>
      <c r="AC21" s="258"/>
      <c r="AD21" s="80"/>
      <c r="AE21" s="58"/>
    </row>
    <row r="22" spans="2:31" ht="12" customHeight="1" x14ac:dyDescent="0.25">
      <c r="B22" s="114"/>
      <c r="C22" s="264"/>
      <c r="D22" s="116"/>
      <c r="F22" s="86"/>
      <c r="G22" s="56"/>
      <c r="H22" s="56"/>
      <c r="I22" s="56"/>
      <c r="J22" s="56"/>
      <c r="K22" s="56"/>
      <c r="L22" s="56"/>
      <c r="M22" s="56"/>
      <c r="N22" s="56"/>
      <c r="O22" s="55"/>
      <c r="P22" s="260" t="s">
        <v>1695</v>
      </c>
      <c r="Q22" s="260"/>
      <c r="R22" s="260"/>
      <c r="S22" s="260"/>
      <c r="T22" s="260"/>
      <c r="U22" s="260"/>
      <c r="V22" s="57"/>
      <c r="W22" s="73"/>
      <c r="X22" s="90"/>
      <c r="Y22" s="90"/>
      <c r="Z22" s="90"/>
      <c r="AA22" s="90"/>
      <c r="AB22" s="90"/>
      <c r="AC22" s="90"/>
      <c r="AD22" s="80"/>
      <c r="AE22" s="58"/>
    </row>
    <row r="23" spans="2:31" ht="12" customHeight="1" x14ac:dyDescent="0.25">
      <c r="B23" s="114"/>
      <c r="C23" s="264"/>
      <c r="D23" s="116"/>
      <c r="F23" s="86"/>
      <c r="G23" s="56"/>
      <c r="H23" s="188" t="s">
        <v>1667</v>
      </c>
      <c r="I23" s="100"/>
      <c r="J23" s="100"/>
      <c r="K23" s="100"/>
      <c r="L23" s="100"/>
      <c r="M23" s="100"/>
      <c r="N23" s="63"/>
      <c r="O23" s="55"/>
      <c r="P23" s="260"/>
      <c r="Q23" s="260"/>
      <c r="R23" s="260"/>
      <c r="S23" s="260"/>
      <c r="T23" s="260"/>
      <c r="U23" s="260"/>
      <c r="V23" s="57"/>
      <c r="W23" s="73"/>
      <c r="X23" s="104" t="s">
        <v>1549</v>
      </c>
      <c r="Y23" s="90"/>
      <c r="Z23" s="90"/>
      <c r="AA23" s="90"/>
      <c r="AB23" s="90"/>
      <c r="AC23" s="90"/>
      <c r="AD23" s="80"/>
      <c r="AE23" s="58"/>
    </row>
    <row r="24" spans="2:31" ht="12" customHeight="1" x14ac:dyDescent="0.25">
      <c r="B24" s="114"/>
      <c r="C24" s="264"/>
      <c r="D24" s="116"/>
      <c r="F24" s="86"/>
      <c r="G24" s="56"/>
      <c r="H24" s="260" t="s">
        <v>1668</v>
      </c>
      <c r="I24" s="260"/>
      <c r="J24" s="260"/>
      <c r="K24" s="260"/>
      <c r="L24" s="260"/>
      <c r="M24" s="260"/>
      <c r="N24" s="88"/>
      <c r="O24" s="55"/>
      <c r="P24" s="260"/>
      <c r="Q24" s="260"/>
      <c r="R24" s="260"/>
      <c r="S24" s="260"/>
      <c r="T24" s="260"/>
      <c r="U24" s="260"/>
      <c r="V24" s="57"/>
      <c r="W24" s="73"/>
      <c r="X24" s="258" t="s">
        <v>1550</v>
      </c>
      <c r="Y24" s="259"/>
      <c r="Z24" s="259"/>
      <c r="AA24" s="259"/>
      <c r="AB24" s="259"/>
      <c r="AC24" s="259"/>
      <c r="AD24" s="80"/>
      <c r="AE24" s="58"/>
    </row>
    <row r="25" spans="2:31" ht="12" customHeight="1" x14ac:dyDescent="0.25">
      <c r="B25" s="114"/>
      <c r="C25" s="264"/>
      <c r="D25" s="116"/>
      <c r="F25" s="86"/>
      <c r="G25" s="56"/>
      <c r="H25" s="260"/>
      <c r="I25" s="260"/>
      <c r="J25" s="260"/>
      <c r="K25" s="260"/>
      <c r="L25" s="260"/>
      <c r="M25" s="260"/>
      <c r="N25" s="88"/>
      <c r="O25" s="55"/>
      <c r="P25" s="260"/>
      <c r="Q25" s="260"/>
      <c r="R25" s="260"/>
      <c r="S25" s="260"/>
      <c r="T25" s="260"/>
      <c r="U25" s="260"/>
      <c r="V25" s="57"/>
      <c r="W25" s="73"/>
      <c r="X25" s="259"/>
      <c r="Y25" s="259"/>
      <c r="Z25" s="259"/>
      <c r="AA25" s="259"/>
      <c r="AB25" s="259"/>
      <c r="AC25" s="259"/>
      <c r="AD25" s="80"/>
      <c r="AE25" s="58"/>
    </row>
    <row r="26" spans="2:31" ht="12" customHeight="1" x14ac:dyDescent="0.25">
      <c r="B26" s="114"/>
      <c r="C26" s="264"/>
      <c r="D26" s="116"/>
      <c r="F26" s="86"/>
      <c r="G26" s="56"/>
      <c r="H26" s="260"/>
      <c r="I26" s="263"/>
      <c r="J26" s="263"/>
      <c r="K26" s="263"/>
      <c r="L26" s="263"/>
      <c r="M26" s="263"/>
      <c r="N26" s="88"/>
      <c r="O26" s="55"/>
      <c r="P26" s="260"/>
      <c r="Q26" s="260"/>
      <c r="R26" s="260"/>
      <c r="S26" s="260"/>
      <c r="T26" s="260"/>
      <c r="U26" s="260"/>
      <c r="V26" s="57"/>
      <c r="W26" s="73"/>
      <c r="X26" s="258" t="s">
        <v>1400</v>
      </c>
      <c r="Y26" s="258"/>
      <c r="Z26" s="258"/>
      <c r="AA26" s="258"/>
      <c r="AB26" s="258"/>
      <c r="AC26" s="258"/>
      <c r="AD26" s="80"/>
      <c r="AE26" s="58"/>
    </row>
    <row r="27" spans="2:31" ht="12" customHeight="1" x14ac:dyDescent="0.25">
      <c r="B27" s="114"/>
      <c r="C27" s="264"/>
      <c r="D27" s="116"/>
      <c r="F27" s="86"/>
      <c r="G27" s="56"/>
      <c r="H27" s="260"/>
      <c r="I27" s="263"/>
      <c r="J27" s="263"/>
      <c r="K27" s="263"/>
      <c r="L27" s="263"/>
      <c r="M27" s="263"/>
      <c r="N27" s="88"/>
      <c r="O27" s="55"/>
      <c r="P27" s="189"/>
      <c r="Q27" s="189"/>
      <c r="R27" s="189"/>
      <c r="S27" s="189"/>
      <c r="T27" s="189"/>
      <c r="U27" s="189"/>
      <c r="V27" s="57"/>
      <c r="W27" s="73"/>
      <c r="X27" s="258"/>
      <c r="Y27" s="258"/>
      <c r="Z27" s="258"/>
      <c r="AA27" s="258"/>
      <c r="AB27" s="258"/>
      <c r="AC27" s="258"/>
      <c r="AD27" s="80"/>
      <c r="AE27" s="58"/>
    </row>
    <row r="28" spans="2:31" ht="12" customHeight="1" x14ac:dyDescent="0.25">
      <c r="B28" s="114"/>
      <c r="C28" s="264"/>
      <c r="D28" s="116"/>
      <c r="F28" s="86"/>
      <c r="G28" s="56"/>
      <c r="H28" s="263"/>
      <c r="I28" s="263"/>
      <c r="J28" s="263"/>
      <c r="K28" s="263"/>
      <c r="L28" s="263"/>
      <c r="M28" s="263"/>
      <c r="N28" s="88"/>
      <c r="O28" s="55"/>
      <c r="P28" s="260"/>
      <c r="Q28" s="260"/>
      <c r="R28" s="260"/>
      <c r="S28" s="260"/>
      <c r="T28" s="260"/>
      <c r="U28" s="260"/>
      <c r="V28" s="57"/>
      <c r="W28" s="73"/>
      <c r="X28" s="258"/>
      <c r="Y28" s="258"/>
      <c r="Z28" s="258"/>
      <c r="AA28" s="258"/>
      <c r="AB28" s="258"/>
      <c r="AC28" s="258"/>
      <c r="AD28" s="80"/>
      <c r="AE28" s="58"/>
    </row>
    <row r="29" spans="2:31" ht="12" customHeight="1" x14ac:dyDescent="0.25">
      <c r="B29" s="114"/>
      <c r="C29" s="264"/>
      <c r="D29" s="116"/>
      <c r="F29" s="86"/>
      <c r="G29" s="56"/>
      <c r="H29" s="261" t="s">
        <v>1669</v>
      </c>
      <c r="I29" s="261"/>
      <c r="J29" s="261"/>
      <c r="K29" s="261"/>
      <c r="L29" s="261"/>
      <c r="M29" s="261"/>
      <c r="N29" s="87"/>
      <c r="O29" s="55"/>
      <c r="P29" s="260"/>
      <c r="Q29" s="260"/>
      <c r="R29" s="260"/>
      <c r="S29" s="260"/>
      <c r="T29" s="260"/>
      <c r="U29" s="260"/>
      <c r="V29" s="57"/>
      <c r="W29" s="73"/>
      <c r="X29" s="258"/>
      <c r="Y29" s="258"/>
      <c r="Z29" s="258"/>
      <c r="AA29" s="258"/>
      <c r="AB29" s="258"/>
      <c r="AC29" s="258"/>
      <c r="AD29" s="80"/>
      <c r="AE29" s="58"/>
    </row>
    <row r="30" spans="2:31" ht="12" customHeight="1" x14ac:dyDescent="0.25">
      <c r="B30" s="114"/>
      <c r="C30" s="264"/>
      <c r="D30" s="116"/>
      <c r="F30" s="86"/>
      <c r="G30" s="56"/>
      <c r="H30" s="261"/>
      <c r="I30" s="261"/>
      <c r="J30" s="261"/>
      <c r="K30" s="261"/>
      <c r="L30" s="261"/>
      <c r="M30" s="261"/>
      <c r="N30" s="87"/>
      <c r="O30" s="55"/>
      <c r="P30" s="260"/>
      <c r="Q30" s="260"/>
      <c r="R30" s="260"/>
      <c r="S30" s="260"/>
      <c r="T30" s="260"/>
      <c r="U30" s="260"/>
      <c r="V30" s="57"/>
      <c r="W30" s="73"/>
      <c r="X30" s="258"/>
      <c r="Y30" s="258"/>
      <c r="Z30" s="258"/>
      <c r="AA30" s="258"/>
      <c r="AB30" s="258"/>
      <c r="AC30" s="258"/>
      <c r="AD30" s="80"/>
      <c r="AE30" s="58"/>
    </row>
    <row r="31" spans="2:31" ht="12" customHeight="1" x14ac:dyDescent="0.25">
      <c r="B31" s="114"/>
      <c r="C31" s="264"/>
      <c r="D31" s="116"/>
      <c r="F31" s="86"/>
      <c r="G31" s="56"/>
      <c r="H31" s="261"/>
      <c r="I31" s="261"/>
      <c r="J31" s="261"/>
      <c r="K31" s="261"/>
      <c r="L31" s="261"/>
      <c r="M31" s="261"/>
      <c r="N31" s="87"/>
      <c r="O31" s="55"/>
      <c r="P31" s="260"/>
      <c r="Q31" s="260"/>
      <c r="R31" s="260"/>
      <c r="S31" s="260"/>
      <c r="T31" s="260"/>
      <c r="U31" s="260"/>
      <c r="V31" s="57"/>
      <c r="W31" s="73"/>
      <c r="X31" s="91"/>
      <c r="Y31" s="90"/>
      <c r="Z31" s="90"/>
      <c r="AA31" s="90"/>
      <c r="AB31" s="90"/>
      <c r="AC31" s="90"/>
      <c r="AD31" s="80"/>
      <c r="AE31" s="58"/>
    </row>
    <row r="32" spans="2:31" ht="12" customHeight="1" x14ac:dyDescent="0.25">
      <c r="B32" s="114"/>
      <c r="C32" s="264"/>
      <c r="D32" s="116"/>
      <c r="F32" s="86"/>
      <c r="G32" s="56"/>
      <c r="H32" s="261"/>
      <c r="I32" s="261"/>
      <c r="J32" s="261"/>
      <c r="K32" s="261"/>
      <c r="L32" s="261"/>
      <c r="M32" s="261"/>
      <c r="N32" s="87"/>
      <c r="O32" s="55"/>
      <c r="P32" s="189"/>
      <c r="Q32" s="189"/>
      <c r="R32" s="189"/>
      <c r="S32" s="189"/>
      <c r="T32" s="189"/>
      <c r="U32" s="189"/>
      <c r="V32" s="57"/>
      <c r="W32" s="73"/>
      <c r="X32" s="104" t="s">
        <v>1687</v>
      </c>
      <c r="Y32" s="90"/>
      <c r="Z32" s="90"/>
      <c r="AA32" s="90"/>
      <c r="AB32" s="90"/>
      <c r="AC32" s="90"/>
      <c r="AD32" s="80"/>
      <c r="AE32" s="58"/>
    </row>
    <row r="33" spans="2:31" ht="12" customHeight="1" x14ac:dyDescent="0.25">
      <c r="B33" s="114"/>
      <c r="C33" s="264"/>
      <c r="D33" s="116"/>
      <c r="F33" s="86"/>
      <c r="G33" s="56"/>
      <c r="H33" s="260" t="s">
        <v>1670</v>
      </c>
      <c r="I33" s="263"/>
      <c r="J33" s="263"/>
      <c r="K33" s="263"/>
      <c r="L33" s="263"/>
      <c r="M33" s="263"/>
      <c r="N33" s="87"/>
      <c r="O33" s="55"/>
      <c r="P33" s="260"/>
      <c r="Q33" s="260"/>
      <c r="R33" s="260"/>
      <c r="S33" s="260"/>
      <c r="T33" s="260"/>
      <c r="U33" s="260"/>
      <c r="V33" s="57"/>
      <c r="W33" s="73"/>
      <c r="X33" s="258" t="s">
        <v>1688</v>
      </c>
      <c r="Y33" s="259"/>
      <c r="Z33" s="259"/>
      <c r="AA33" s="259"/>
      <c r="AB33" s="259"/>
      <c r="AC33" s="259"/>
      <c r="AD33" s="80"/>
      <c r="AE33" s="58"/>
    </row>
    <row r="34" spans="2:31" ht="12" customHeight="1" x14ac:dyDescent="0.25">
      <c r="B34" s="114"/>
      <c r="C34" s="264"/>
      <c r="D34" s="116"/>
      <c r="F34" s="86"/>
      <c r="G34" s="56"/>
      <c r="H34" s="263"/>
      <c r="I34" s="263"/>
      <c r="J34" s="263"/>
      <c r="K34" s="263"/>
      <c r="L34" s="263"/>
      <c r="M34" s="263"/>
      <c r="N34" s="87"/>
      <c r="O34" s="55"/>
      <c r="P34" s="260"/>
      <c r="Q34" s="260"/>
      <c r="R34" s="260"/>
      <c r="S34" s="260"/>
      <c r="T34" s="260"/>
      <c r="U34" s="260"/>
      <c r="V34" s="57"/>
      <c r="W34" s="73"/>
      <c r="X34" s="259"/>
      <c r="Y34" s="259"/>
      <c r="Z34" s="259"/>
      <c r="AA34" s="259"/>
      <c r="AB34" s="259"/>
      <c r="AC34" s="259"/>
      <c r="AD34" s="80"/>
      <c r="AE34" s="58"/>
    </row>
    <row r="35" spans="2:31" ht="12" customHeight="1" x14ac:dyDescent="0.25">
      <c r="B35" s="114"/>
      <c r="C35" s="264"/>
      <c r="D35" s="116"/>
      <c r="F35" s="86"/>
      <c r="G35" s="56"/>
      <c r="H35" s="260" t="s">
        <v>1395</v>
      </c>
      <c r="I35" s="260"/>
      <c r="J35" s="260"/>
      <c r="K35" s="260"/>
      <c r="L35" s="260"/>
      <c r="M35" s="260"/>
      <c r="N35" s="87"/>
      <c r="O35" s="55"/>
      <c r="P35" s="260"/>
      <c r="Q35" s="260"/>
      <c r="R35" s="260"/>
      <c r="S35" s="260"/>
      <c r="T35" s="260"/>
      <c r="U35" s="260"/>
      <c r="V35" s="57"/>
      <c r="W35" s="73"/>
      <c r="X35" s="258" t="s">
        <v>1685</v>
      </c>
      <c r="Y35" s="258"/>
      <c r="Z35" s="258"/>
      <c r="AA35" s="258"/>
      <c r="AB35" s="258"/>
      <c r="AC35" s="258"/>
      <c r="AD35" s="80"/>
      <c r="AE35" s="58"/>
    </row>
    <row r="36" spans="2:31" ht="12" customHeight="1" x14ac:dyDescent="0.25">
      <c r="B36" s="114"/>
      <c r="C36" s="264"/>
      <c r="D36" s="116"/>
      <c r="F36" s="86"/>
      <c r="G36" s="56"/>
      <c r="H36" s="260"/>
      <c r="I36" s="260"/>
      <c r="J36" s="260"/>
      <c r="K36" s="260"/>
      <c r="L36" s="260"/>
      <c r="M36" s="260"/>
      <c r="N36" s="87"/>
      <c r="O36" s="55"/>
      <c r="P36" s="260"/>
      <c r="Q36" s="260"/>
      <c r="R36" s="260"/>
      <c r="S36" s="260"/>
      <c r="T36" s="260"/>
      <c r="U36" s="260"/>
      <c r="V36" s="57"/>
      <c r="W36" s="73"/>
      <c r="X36" s="258"/>
      <c r="Y36" s="258"/>
      <c r="Z36" s="258"/>
      <c r="AA36" s="258"/>
      <c r="AB36" s="258"/>
      <c r="AC36" s="258"/>
      <c r="AD36" s="80"/>
      <c r="AE36" s="58"/>
    </row>
    <row r="37" spans="2:31" ht="12" customHeight="1" x14ac:dyDescent="0.25">
      <c r="B37" s="114"/>
      <c r="C37" s="264"/>
      <c r="D37" s="116"/>
      <c r="F37" s="86"/>
      <c r="G37" s="56"/>
      <c r="H37" s="260"/>
      <c r="I37" s="260"/>
      <c r="J37" s="260"/>
      <c r="K37" s="260"/>
      <c r="L37" s="260"/>
      <c r="M37" s="260"/>
      <c r="N37" s="87"/>
      <c r="O37" s="55"/>
      <c r="P37" s="260"/>
      <c r="Q37" s="260"/>
      <c r="R37" s="260"/>
      <c r="S37" s="260"/>
      <c r="T37" s="260"/>
      <c r="U37" s="260"/>
      <c r="V37" s="57"/>
      <c r="W37" s="73"/>
      <c r="X37" s="258"/>
      <c r="Y37" s="258"/>
      <c r="Z37" s="258"/>
      <c r="AA37" s="258"/>
      <c r="AB37" s="258"/>
      <c r="AC37" s="258"/>
      <c r="AD37" s="80"/>
      <c r="AE37" s="58"/>
    </row>
    <row r="38" spans="2:31" ht="12" customHeight="1" x14ac:dyDescent="0.25">
      <c r="B38" s="114"/>
      <c r="C38" s="264"/>
      <c r="D38" s="116"/>
      <c r="F38" s="86"/>
      <c r="G38" s="56"/>
      <c r="H38" s="260"/>
      <c r="I38" s="260"/>
      <c r="J38" s="260"/>
      <c r="K38" s="260"/>
      <c r="L38" s="260"/>
      <c r="M38" s="260"/>
      <c r="N38" s="56"/>
      <c r="O38" s="55"/>
      <c r="P38" s="260"/>
      <c r="Q38" s="260"/>
      <c r="R38" s="260"/>
      <c r="S38" s="260"/>
      <c r="T38" s="260"/>
      <c r="U38" s="260"/>
      <c r="V38" s="57"/>
      <c r="W38" s="73"/>
      <c r="X38" s="258"/>
      <c r="Y38" s="258"/>
      <c r="Z38" s="258"/>
      <c r="AA38" s="258"/>
      <c r="AB38" s="258"/>
      <c r="AC38" s="258"/>
      <c r="AD38" s="80"/>
      <c r="AE38" s="58"/>
    </row>
    <row r="39" spans="2:31" ht="12" customHeight="1" x14ac:dyDescent="0.25">
      <c r="B39" s="114"/>
      <c r="C39" s="264"/>
      <c r="D39" s="116"/>
      <c r="F39" s="86"/>
      <c r="G39" s="56"/>
      <c r="H39" s="260" t="s">
        <v>1396</v>
      </c>
      <c r="I39" s="260"/>
      <c r="J39" s="260"/>
      <c r="K39" s="260"/>
      <c r="L39" s="260"/>
      <c r="M39" s="260"/>
      <c r="N39" s="63"/>
      <c r="O39" s="55"/>
      <c r="P39" s="260"/>
      <c r="Q39" s="260"/>
      <c r="R39" s="260"/>
      <c r="S39" s="260"/>
      <c r="T39" s="260"/>
      <c r="U39" s="260"/>
      <c r="V39" s="57"/>
      <c r="W39" s="73"/>
      <c r="X39" s="258"/>
      <c r="Y39" s="258"/>
      <c r="Z39" s="258"/>
      <c r="AA39" s="258"/>
      <c r="AB39" s="258"/>
      <c r="AC39" s="258"/>
      <c r="AD39" s="80"/>
      <c r="AE39" s="58"/>
    </row>
    <row r="40" spans="2:31" ht="12" customHeight="1" x14ac:dyDescent="0.25">
      <c r="B40" s="114"/>
      <c r="C40" s="264"/>
      <c r="D40" s="116"/>
      <c r="F40" s="86"/>
      <c r="G40" s="56"/>
      <c r="H40" s="260"/>
      <c r="I40" s="260"/>
      <c r="J40" s="260"/>
      <c r="K40" s="260"/>
      <c r="L40" s="260"/>
      <c r="M40" s="260"/>
      <c r="N40" s="87"/>
      <c r="O40" s="55"/>
      <c r="P40" s="260"/>
      <c r="Q40" s="260"/>
      <c r="R40" s="260"/>
      <c r="S40" s="260"/>
      <c r="T40" s="260"/>
      <c r="U40" s="260"/>
      <c r="V40" s="57"/>
      <c r="W40" s="81"/>
      <c r="X40" s="104"/>
      <c r="Y40" s="90"/>
      <c r="Z40" s="90"/>
      <c r="AA40" s="90"/>
      <c r="AB40" s="90"/>
      <c r="AC40" s="90"/>
      <c r="AD40" s="80"/>
      <c r="AE40" s="58"/>
    </row>
    <row r="41" spans="2:31" ht="12" customHeight="1" x14ac:dyDescent="0.25">
      <c r="B41" s="114"/>
      <c r="C41" s="264"/>
      <c r="D41" s="116"/>
      <c r="F41" s="86"/>
      <c r="G41" s="56"/>
      <c r="H41" s="260"/>
      <c r="I41" s="260"/>
      <c r="J41" s="260"/>
      <c r="K41" s="260"/>
      <c r="L41" s="260"/>
      <c r="M41" s="260"/>
      <c r="N41" s="87"/>
      <c r="O41" s="55"/>
      <c r="P41" s="260"/>
      <c r="Q41" s="260"/>
      <c r="R41" s="260"/>
      <c r="S41" s="260"/>
      <c r="T41" s="260"/>
      <c r="U41" s="260"/>
      <c r="V41" s="61"/>
      <c r="W41" s="82"/>
      <c r="X41" s="270" t="s">
        <v>1690</v>
      </c>
      <c r="Y41" s="271"/>
      <c r="Z41" s="271"/>
      <c r="AA41" s="271"/>
      <c r="AB41" s="271"/>
      <c r="AC41" s="271"/>
      <c r="AD41" s="80"/>
      <c r="AE41" s="58"/>
    </row>
    <row r="42" spans="2:31" ht="12" customHeight="1" x14ac:dyDescent="0.25">
      <c r="B42" s="114"/>
      <c r="C42" s="264"/>
      <c r="D42" s="116"/>
      <c r="F42" s="86"/>
      <c r="G42" s="56"/>
      <c r="H42" s="260"/>
      <c r="I42" s="260"/>
      <c r="J42" s="260"/>
      <c r="K42" s="260"/>
      <c r="L42" s="260"/>
      <c r="M42" s="260"/>
      <c r="N42" s="87"/>
      <c r="O42" s="55"/>
      <c r="P42" s="260"/>
      <c r="Q42" s="260"/>
      <c r="R42" s="260"/>
      <c r="S42" s="260"/>
      <c r="T42" s="260"/>
      <c r="U42" s="260"/>
      <c r="V42" s="61"/>
      <c r="W42" s="83"/>
      <c r="X42" s="271"/>
      <c r="Y42" s="271"/>
      <c r="Z42" s="271"/>
      <c r="AA42" s="271"/>
      <c r="AB42" s="271"/>
      <c r="AC42" s="271"/>
      <c r="AD42" s="80"/>
      <c r="AE42" s="58"/>
    </row>
    <row r="43" spans="2:31" ht="12" customHeight="1" x14ac:dyDescent="0.25">
      <c r="B43" s="114"/>
      <c r="C43" s="264"/>
      <c r="D43" s="116"/>
      <c r="F43" s="86"/>
      <c r="G43" s="56"/>
      <c r="H43" s="260"/>
      <c r="I43" s="260"/>
      <c r="J43" s="260"/>
      <c r="K43" s="260"/>
      <c r="L43" s="260"/>
      <c r="M43" s="260"/>
      <c r="N43" s="87"/>
      <c r="O43" s="55"/>
      <c r="P43" s="260"/>
      <c r="Q43" s="260"/>
      <c r="R43" s="260"/>
      <c r="S43" s="260"/>
      <c r="T43" s="260"/>
      <c r="U43" s="260"/>
      <c r="V43" s="62"/>
      <c r="W43" s="83"/>
      <c r="X43" s="258" t="s">
        <v>1689</v>
      </c>
      <c r="Y43" s="259"/>
      <c r="Z43" s="259"/>
      <c r="AA43" s="259"/>
      <c r="AB43" s="259"/>
      <c r="AC43" s="259"/>
      <c r="AD43" s="80"/>
      <c r="AE43" s="58"/>
    </row>
    <row r="44" spans="2:31" ht="12" customHeight="1" x14ac:dyDescent="0.25">
      <c r="B44" s="114"/>
      <c r="C44" s="264"/>
      <c r="D44" s="116"/>
      <c r="F44" s="86"/>
      <c r="G44" s="56"/>
      <c r="H44" s="260"/>
      <c r="I44" s="260"/>
      <c r="J44" s="260"/>
      <c r="K44" s="260"/>
      <c r="L44" s="260"/>
      <c r="M44" s="260"/>
      <c r="N44" s="87"/>
      <c r="O44" s="55"/>
      <c r="P44" s="260"/>
      <c r="Q44" s="260"/>
      <c r="R44" s="260"/>
      <c r="S44" s="260"/>
      <c r="T44" s="260"/>
      <c r="U44" s="260"/>
      <c r="V44" s="62"/>
      <c r="W44" s="83"/>
      <c r="X44" s="259"/>
      <c r="Y44" s="259"/>
      <c r="Z44" s="259"/>
      <c r="AA44" s="259"/>
      <c r="AB44" s="259"/>
      <c r="AC44" s="259"/>
      <c r="AD44" s="80"/>
      <c r="AE44" s="58"/>
    </row>
    <row r="45" spans="2:31" ht="12" customHeight="1" x14ac:dyDescent="0.25">
      <c r="B45" s="114"/>
      <c r="C45" s="264"/>
      <c r="D45" s="116"/>
      <c r="F45" s="86"/>
      <c r="G45" s="56"/>
      <c r="H45" s="102" t="s">
        <v>1671</v>
      </c>
      <c r="I45" s="63"/>
      <c r="J45" s="63"/>
      <c r="K45" s="63"/>
      <c r="L45" s="63"/>
      <c r="M45" s="63"/>
      <c r="N45" s="87"/>
      <c r="O45" s="55"/>
      <c r="P45" s="260"/>
      <c r="Q45" s="260"/>
      <c r="R45" s="260"/>
      <c r="S45" s="260"/>
      <c r="T45" s="260"/>
      <c r="U45" s="260"/>
      <c r="V45" s="62"/>
      <c r="W45" s="75"/>
      <c r="X45" s="258" t="s">
        <v>1401</v>
      </c>
      <c r="Y45" s="259"/>
      <c r="Z45" s="259"/>
      <c r="AA45" s="259"/>
      <c r="AB45" s="259"/>
      <c r="AC45" s="259"/>
      <c r="AD45" s="80"/>
      <c r="AE45" s="58"/>
    </row>
    <row r="46" spans="2:31" ht="12" customHeight="1" x14ac:dyDescent="0.25">
      <c r="B46" s="114"/>
      <c r="C46" s="264"/>
      <c r="D46" s="116"/>
      <c r="F46" s="86"/>
      <c r="G46" s="56"/>
      <c r="H46" s="260" t="s">
        <v>1672</v>
      </c>
      <c r="I46" s="260"/>
      <c r="J46" s="260"/>
      <c r="K46" s="260"/>
      <c r="L46" s="260"/>
      <c r="M46" s="260"/>
      <c r="N46" s="87"/>
      <c r="O46" s="55"/>
      <c r="P46" s="260"/>
      <c r="Q46" s="260"/>
      <c r="R46" s="260"/>
      <c r="S46" s="260"/>
      <c r="T46" s="260"/>
      <c r="U46" s="260"/>
      <c r="V46" s="61"/>
      <c r="W46" s="75"/>
      <c r="X46" s="258"/>
      <c r="Y46" s="259"/>
      <c r="Z46" s="259"/>
      <c r="AA46" s="259"/>
      <c r="AB46" s="259"/>
      <c r="AC46" s="259"/>
      <c r="AD46" s="80"/>
      <c r="AE46" s="58"/>
    </row>
    <row r="47" spans="2:31" ht="12" customHeight="1" x14ac:dyDescent="0.25">
      <c r="B47" s="114"/>
      <c r="C47" s="264"/>
      <c r="D47" s="116"/>
      <c r="F47" s="86"/>
      <c r="G47" s="56"/>
      <c r="H47" s="260"/>
      <c r="I47" s="260"/>
      <c r="J47" s="260"/>
      <c r="K47" s="260"/>
      <c r="L47" s="260"/>
      <c r="M47" s="260"/>
      <c r="N47" s="87"/>
      <c r="O47" s="55"/>
      <c r="P47" s="260"/>
      <c r="Q47" s="260"/>
      <c r="R47" s="260"/>
      <c r="S47" s="260"/>
      <c r="T47" s="260"/>
      <c r="U47" s="260"/>
      <c r="V47" s="60"/>
      <c r="W47" s="75"/>
      <c r="X47" s="259"/>
      <c r="Y47" s="259"/>
      <c r="Z47" s="259"/>
      <c r="AA47" s="259"/>
      <c r="AB47" s="259"/>
      <c r="AC47" s="259"/>
      <c r="AD47" s="80"/>
      <c r="AE47" s="65"/>
    </row>
    <row r="48" spans="2:31" ht="12" customHeight="1" x14ac:dyDescent="0.25">
      <c r="B48" s="114"/>
      <c r="C48" s="264"/>
      <c r="D48" s="116"/>
      <c r="F48" s="86"/>
      <c r="G48" s="56"/>
      <c r="H48" s="260" t="s">
        <v>1397</v>
      </c>
      <c r="I48" s="260"/>
      <c r="J48" s="260"/>
      <c r="K48" s="260"/>
      <c r="L48" s="260"/>
      <c r="M48" s="260"/>
      <c r="N48" s="87"/>
      <c r="O48" s="55"/>
      <c r="P48" s="260"/>
      <c r="Q48" s="260"/>
      <c r="R48" s="260"/>
      <c r="S48" s="260"/>
      <c r="T48" s="260"/>
      <c r="U48" s="260"/>
      <c r="V48" s="60"/>
      <c r="W48" s="75"/>
      <c r="X48" s="258"/>
      <c r="Y48" s="258"/>
      <c r="Z48" s="258"/>
      <c r="AA48" s="258"/>
      <c r="AB48" s="258"/>
      <c r="AC48" s="258"/>
      <c r="AD48" s="80"/>
    </row>
    <row r="49" spans="2:30" ht="12" customHeight="1" x14ac:dyDescent="0.25">
      <c r="B49" s="114"/>
      <c r="C49" s="264"/>
      <c r="D49" s="116"/>
      <c r="F49" s="86"/>
      <c r="G49" s="56"/>
      <c r="H49" s="260"/>
      <c r="I49" s="260"/>
      <c r="J49" s="260"/>
      <c r="K49" s="260"/>
      <c r="L49" s="260"/>
      <c r="M49" s="260"/>
      <c r="N49" s="87"/>
      <c r="O49" s="55"/>
      <c r="P49" s="56"/>
      <c r="Q49" s="56"/>
      <c r="R49" s="56"/>
      <c r="S49" s="56"/>
      <c r="T49" s="56"/>
      <c r="U49" s="56"/>
      <c r="V49" s="62"/>
      <c r="W49" s="75"/>
      <c r="X49" s="258"/>
      <c r="Y49" s="258"/>
      <c r="Z49" s="258"/>
      <c r="AA49" s="258"/>
      <c r="AB49" s="258"/>
      <c r="AC49" s="258"/>
      <c r="AD49" s="80"/>
    </row>
    <row r="50" spans="2:30" ht="12" customHeight="1" x14ac:dyDescent="0.25">
      <c r="B50" s="114"/>
      <c r="C50" s="264"/>
      <c r="D50" s="116"/>
      <c r="F50" s="86"/>
      <c r="G50" s="56"/>
      <c r="H50" s="260"/>
      <c r="I50" s="260"/>
      <c r="J50" s="260"/>
      <c r="K50" s="260"/>
      <c r="L50" s="260"/>
      <c r="M50" s="260"/>
      <c r="N50" s="87"/>
      <c r="O50" s="55"/>
      <c r="P50" s="101"/>
      <c r="Q50" s="59"/>
      <c r="R50" s="59"/>
      <c r="S50" s="59"/>
      <c r="T50" s="59"/>
      <c r="U50" s="59"/>
      <c r="V50" s="62"/>
      <c r="W50" s="75"/>
      <c r="X50" s="104" t="s">
        <v>1691</v>
      </c>
      <c r="Y50" s="92"/>
      <c r="Z50" s="92"/>
      <c r="AA50" s="92"/>
      <c r="AB50" s="92"/>
      <c r="AC50" s="92"/>
      <c r="AD50" s="80"/>
    </row>
    <row r="51" spans="2:30" ht="22.5" customHeight="1" x14ac:dyDescent="0.25">
      <c r="B51" s="114"/>
      <c r="C51" s="264"/>
      <c r="D51" s="116"/>
      <c r="F51" s="86"/>
      <c r="G51" s="56"/>
      <c r="H51" s="260" t="s">
        <v>1396</v>
      </c>
      <c r="I51" s="260"/>
      <c r="J51" s="260"/>
      <c r="K51" s="260"/>
      <c r="L51" s="260"/>
      <c r="M51" s="260"/>
      <c r="N51" s="87"/>
      <c r="O51" s="55"/>
      <c r="P51" s="260"/>
      <c r="Q51" s="260"/>
      <c r="R51" s="260"/>
      <c r="S51" s="260"/>
      <c r="T51" s="260"/>
      <c r="U51" s="260"/>
      <c r="V51" s="62"/>
      <c r="W51" s="75"/>
      <c r="X51" s="258" t="s">
        <v>1692</v>
      </c>
      <c r="Y51" s="258"/>
      <c r="Z51" s="258"/>
      <c r="AA51" s="258"/>
      <c r="AB51" s="258"/>
      <c r="AC51" s="258"/>
      <c r="AD51" s="80"/>
    </row>
    <row r="52" spans="2:30" ht="12" customHeight="1" x14ac:dyDescent="0.25">
      <c r="B52" s="114"/>
      <c r="C52" s="264"/>
      <c r="D52" s="116"/>
      <c r="F52" s="86"/>
      <c r="G52" s="56"/>
      <c r="H52" s="260"/>
      <c r="I52" s="260"/>
      <c r="J52" s="260"/>
      <c r="K52" s="260"/>
      <c r="L52" s="260"/>
      <c r="M52" s="260"/>
      <c r="N52" s="87"/>
      <c r="O52" s="55"/>
      <c r="P52" s="260"/>
      <c r="Q52" s="260"/>
      <c r="R52" s="260"/>
      <c r="S52" s="260"/>
      <c r="T52" s="260"/>
      <c r="U52" s="260"/>
      <c r="V52" s="61"/>
      <c r="W52" s="75"/>
      <c r="X52" s="258"/>
      <c r="Y52" s="258"/>
      <c r="Z52" s="258"/>
      <c r="AA52" s="258"/>
      <c r="AB52" s="258"/>
      <c r="AC52" s="258"/>
      <c r="AD52" s="80"/>
    </row>
    <row r="53" spans="2:30" ht="12" customHeight="1" x14ac:dyDescent="0.25">
      <c r="B53" s="114"/>
      <c r="C53" s="264"/>
      <c r="D53" s="116"/>
      <c r="F53" s="86"/>
      <c r="G53" s="56"/>
      <c r="H53" s="260"/>
      <c r="I53" s="260"/>
      <c r="J53" s="260"/>
      <c r="K53" s="260"/>
      <c r="L53" s="260"/>
      <c r="M53" s="260"/>
      <c r="N53" s="87"/>
      <c r="O53" s="55"/>
      <c r="P53" s="260"/>
      <c r="Q53" s="260"/>
      <c r="R53" s="260"/>
      <c r="S53" s="260"/>
      <c r="T53" s="260"/>
      <c r="U53" s="260"/>
      <c r="V53" s="61"/>
      <c r="W53" s="75"/>
      <c r="X53" s="258" t="s">
        <v>1402</v>
      </c>
      <c r="Y53" s="258"/>
      <c r="Z53" s="258"/>
      <c r="AA53" s="258"/>
      <c r="AB53" s="258"/>
      <c r="AC53" s="258"/>
      <c r="AD53" s="80"/>
    </row>
    <row r="54" spans="2:30" ht="12" customHeight="1" x14ac:dyDescent="0.25">
      <c r="B54" s="114"/>
      <c r="C54" s="264"/>
      <c r="D54" s="116"/>
      <c r="F54" s="86"/>
      <c r="G54" s="56"/>
      <c r="H54" s="260"/>
      <c r="I54" s="260"/>
      <c r="J54" s="260"/>
      <c r="K54" s="260"/>
      <c r="L54" s="260"/>
      <c r="M54" s="260"/>
      <c r="N54" s="87"/>
      <c r="O54" s="55"/>
      <c r="P54" s="260"/>
      <c r="Q54" s="260"/>
      <c r="R54" s="260"/>
      <c r="S54" s="260"/>
      <c r="T54" s="260"/>
      <c r="U54" s="260"/>
      <c r="V54" s="61"/>
      <c r="W54" s="75"/>
      <c r="X54" s="258"/>
      <c r="Y54" s="258"/>
      <c r="Z54" s="258"/>
      <c r="AA54" s="258"/>
      <c r="AB54" s="258"/>
      <c r="AC54" s="258"/>
      <c r="AD54" s="80"/>
    </row>
    <row r="55" spans="2:30" ht="12" customHeight="1" x14ac:dyDescent="0.25">
      <c r="B55" s="114"/>
      <c r="C55" s="264"/>
      <c r="D55" s="116"/>
      <c r="F55" s="86"/>
      <c r="G55" s="56"/>
      <c r="H55" s="101"/>
      <c r="I55" s="56"/>
      <c r="J55" s="56"/>
      <c r="K55" s="56"/>
      <c r="L55" s="56"/>
      <c r="M55" s="56"/>
      <c r="N55" s="56"/>
      <c r="O55" s="55"/>
      <c r="P55" s="260"/>
      <c r="Q55" s="260"/>
      <c r="R55" s="260"/>
      <c r="S55" s="260"/>
      <c r="T55" s="260"/>
      <c r="U55" s="260"/>
      <c r="V55" s="57"/>
      <c r="W55" s="75"/>
      <c r="X55" s="258"/>
      <c r="Y55" s="258"/>
      <c r="Z55" s="258"/>
      <c r="AA55" s="258"/>
      <c r="AB55" s="258"/>
      <c r="AC55" s="258"/>
      <c r="AD55" s="80"/>
    </row>
    <row r="56" spans="2:30" ht="12" customHeight="1" x14ac:dyDescent="0.25">
      <c r="B56" s="114"/>
      <c r="C56" s="264"/>
      <c r="D56" s="116"/>
      <c r="F56" s="86"/>
      <c r="G56" s="56"/>
      <c r="H56" s="261" t="s">
        <v>1673</v>
      </c>
      <c r="I56" s="261"/>
      <c r="J56" s="261"/>
      <c r="K56" s="261"/>
      <c r="L56" s="261"/>
      <c r="M56" s="261"/>
      <c r="N56" s="59"/>
      <c r="O56" s="55"/>
      <c r="P56" s="260"/>
      <c r="Q56" s="260"/>
      <c r="R56" s="260"/>
      <c r="S56" s="260"/>
      <c r="T56" s="260"/>
      <c r="U56" s="260"/>
      <c r="V56" s="57"/>
      <c r="W56" s="75"/>
      <c r="X56" s="258"/>
      <c r="Y56" s="258"/>
      <c r="Z56" s="258"/>
      <c r="AA56" s="258"/>
      <c r="AB56" s="258"/>
      <c r="AC56" s="258"/>
      <c r="AD56" s="80"/>
    </row>
    <row r="57" spans="2:30" ht="12" customHeight="1" x14ac:dyDescent="0.25">
      <c r="B57" s="114"/>
      <c r="C57" s="264"/>
      <c r="D57" s="116"/>
      <c r="F57" s="86"/>
      <c r="G57" s="56"/>
      <c r="H57" s="261"/>
      <c r="I57" s="261"/>
      <c r="J57" s="261"/>
      <c r="K57" s="261"/>
      <c r="L57" s="261"/>
      <c r="M57" s="261"/>
      <c r="N57" s="87"/>
      <c r="O57" s="55"/>
      <c r="P57" s="260"/>
      <c r="Q57" s="260"/>
      <c r="R57" s="260"/>
      <c r="S57" s="260"/>
      <c r="T57" s="260"/>
      <c r="U57" s="260"/>
      <c r="V57" s="57"/>
      <c r="W57" s="75"/>
      <c r="X57" s="258"/>
      <c r="Y57" s="258"/>
      <c r="Z57" s="258"/>
      <c r="AA57" s="258"/>
      <c r="AB57" s="258"/>
      <c r="AC57" s="258"/>
      <c r="AD57" s="80"/>
    </row>
    <row r="58" spans="2:30" ht="12" customHeight="1" x14ac:dyDescent="0.25">
      <c r="B58" s="114"/>
      <c r="C58" s="264"/>
      <c r="D58" s="116"/>
      <c r="F58" s="86"/>
      <c r="G58" s="56"/>
      <c r="H58" s="261"/>
      <c r="I58" s="261"/>
      <c r="J58" s="261"/>
      <c r="K58" s="261"/>
      <c r="L58" s="261"/>
      <c r="M58" s="261"/>
      <c r="N58" s="87"/>
      <c r="O58" s="55"/>
      <c r="P58" s="260"/>
      <c r="Q58" s="260"/>
      <c r="R58" s="260"/>
      <c r="S58" s="260"/>
      <c r="T58" s="260"/>
      <c r="U58" s="260"/>
      <c r="V58" s="57"/>
      <c r="W58" s="75"/>
      <c r="X58" s="104" t="s">
        <v>1693</v>
      </c>
      <c r="Y58" s="90"/>
      <c r="Z58" s="90"/>
      <c r="AA58" s="90"/>
      <c r="AB58" s="90"/>
      <c r="AC58" s="90"/>
      <c r="AD58" s="80"/>
    </row>
    <row r="59" spans="2:30" ht="12" customHeight="1" x14ac:dyDescent="0.25">
      <c r="B59" s="114"/>
      <c r="C59" s="264"/>
      <c r="D59" s="116"/>
      <c r="F59" s="86"/>
      <c r="G59" s="56"/>
      <c r="H59" s="260" t="s">
        <v>1674</v>
      </c>
      <c r="I59" s="260"/>
      <c r="J59" s="260"/>
      <c r="K59" s="260"/>
      <c r="L59" s="260"/>
      <c r="M59" s="260"/>
      <c r="N59" s="87"/>
      <c r="O59" s="55"/>
      <c r="P59" s="260"/>
      <c r="Q59" s="260"/>
      <c r="R59" s="260"/>
      <c r="S59" s="260"/>
      <c r="T59" s="260"/>
      <c r="U59" s="260"/>
      <c r="V59" s="57"/>
      <c r="W59" s="75"/>
      <c r="X59" s="104"/>
      <c r="Y59" s="90"/>
      <c r="Z59" s="90"/>
      <c r="AA59" s="90"/>
      <c r="AB59" s="90"/>
      <c r="AC59" s="90"/>
      <c r="AD59" s="80"/>
    </row>
    <row r="60" spans="2:30" ht="34.5" customHeight="1" x14ac:dyDescent="0.25">
      <c r="B60" s="114"/>
      <c r="C60" s="264"/>
      <c r="D60" s="116"/>
      <c r="F60" s="86"/>
      <c r="G60" s="56"/>
      <c r="H60" s="260"/>
      <c r="I60" s="260"/>
      <c r="J60" s="260"/>
      <c r="K60" s="260"/>
      <c r="L60" s="260"/>
      <c r="M60" s="260"/>
      <c r="N60" s="87"/>
      <c r="O60" s="55"/>
      <c r="P60" s="260"/>
      <c r="Q60" s="260"/>
      <c r="R60" s="260"/>
      <c r="S60" s="260"/>
      <c r="T60" s="260"/>
      <c r="U60" s="260"/>
      <c r="V60" s="57"/>
      <c r="W60" s="75"/>
      <c r="X60" s="258" t="s">
        <v>1694</v>
      </c>
      <c r="Y60" s="258"/>
      <c r="Z60" s="258"/>
      <c r="AA60" s="258"/>
      <c r="AB60" s="258"/>
      <c r="AC60" s="258"/>
      <c r="AD60" s="84"/>
    </row>
    <row r="61" spans="2:30" ht="12" customHeight="1" x14ac:dyDescent="0.25">
      <c r="B61" s="114"/>
      <c r="C61" s="264"/>
      <c r="D61" s="116"/>
      <c r="F61" s="86"/>
      <c r="G61" s="56"/>
      <c r="H61" s="260"/>
      <c r="I61" s="260"/>
      <c r="J61" s="260"/>
      <c r="K61" s="260"/>
      <c r="L61" s="260"/>
      <c r="M61" s="260"/>
      <c r="N61" s="87"/>
      <c r="O61" s="55"/>
      <c r="P61" s="260"/>
      <c r="Q61" s="260"/>
      <c r="R61" s="260"/>
      <c r="S61" s="260"/>
      <c r="T61" s="260"/>
      <c r="U61" s="260"/>
      <c r="V61" s="57"/>
      <c r="W61" s="75"/>
      <c r="X61" s="258"/>
      <c r="Y61" s="258"/>
      <c r="Z61" s="258"/>
      <c r="AA61" s="258"/>
      <c r="AB61" s="258"/>
      <c r="AC61" s="258"/>
      <c r="AD61" s="80"/>
    </row>
    <row r="62" spans="2:30" ht="12" customHeight="1" x14ac:dyDescent="0.25">
      <c r="B62" s="114"/>
      <c r="C62" s="264"/>
      <c r="D62" s="116"/>
      <c r="F62" s="86"/>
      <c r="G62" s="56"/>
      <c r="H62" s="260"/>
      <c r="I62" s="260"/>
      <c r="J62" s="260"/>
      <c r="K62" s="260"/>
      <c r="L62" s="260"/>
      <c r="M62" s="260"/>
      <c r="N62" s="87"/>
      <c r="O62" s="55"/>
      <c r="P62" s="260"/>
      <c r="Q62" s="260"/>
      <c r="R62" s="260"/>
      <c r="S62" s="260"/>
      <c r="T62" s="260"/>
      <c r="U62" s="260"/>
      <c r="V62" s="57"/>
      <c r="W62" s="75"/>
      <c r="X62" s="258" t="s">
        <v>1686</v>
      </c>
      <c r="Y62" s="258"/>
      <c r="Z62" s="258"/>
      <c r="AA62" s="258"/>
      <c r="AB62" s="258"/>
      <c r="AC62" s="258"/>
      <c r="AD62" s="80"/>
    </row>
    <row r="63" spans="2:30" ht="39.75" customHeight="1" x14ac:dyDescent="0.25">
      <c r="B63" s="114"/>
      <c r="C63" s="264"/>
      <c r="D63" s="116"/>
      <c r="F63" s="86"/>
      <c r="G63" s="56"/>
      <c r="H63" s="260" t="s">
        <v>1398</v>
      </c>
      <c r="I63" s="260"/>
      <c r="J63" s="260"/>
      <c r="K63" s="260"/>
      <c r="L63" s="260"/>
      <c r="M63" s="260"/>
      <c r="N63" s="87"/>
      <c r="O63" s="55"/>
      <c r="P63" s="64"/>
      <c r="Q63" s="59"/>
      <c r="R63" s="59"/>
      <c r="S63" s="59"/>
      <c r="T63" s="59"/>
      <c r="U63" s="59"/>
      <c r="V63" s="57"/>
      <c r="W63" s="75"/>
      <c r="X63" s="258"/>
      <c r="Y63" s="258"/>
      <c r="Z63" s="258"/>
      <c r="AA63" s="258"/>
      <c r="AB63" s="258"/>
      <c r="AC63" s="258"/>
      <c r="AD63" s="80"/>
    </row>
    <row r="64" spans="2:30" ht="34.5" customHeight="1" x14ac:dyDescent="0.25">
      <c r="B64" s="114"/>
      <c r="C64" s="264"/>
      <c r="D64" s="116"/>
      <c r="F64" s="86"/>
      <c r="G64" s="56"/>
      <c r="H64" s="260"/>
      <c r="I64" s="260"/>
      <c r="J64" s="260"/>
      <c r="K64" s="260"/>
      <c r="L64" s="260"/>
      <c r="M64" s="260"/>
      <c r="N64" s="88"/>
      <c r="O64" s="55"/>
      <c r="P64" s="101"/>
      <c r="Q64" s="59"/>
      <c r="R64" s="59"/>
      <c r="S64" s="59"/>
      <c r="T64" s="59"/>
      <c r="U64" s="59"/>
      <c r="V64" s="57"/>
      <c r="W64" s="75"/>
      <c r="X64" s="258"/>
      <c r="Y64" s="258"/>
      <c r="Z64" s="258"/>
      <c r="AA64" s="258"/>
      <c r="AB64" s="258"/>
      <c r="AC64" s="258"/>
      <c r="AD64" s="80"/>
    </row>
    <row r="65" spans="2:30" ht="33.75" customHeight="1" x14ac:dyDescent="0.25">
      <c r="B65" s="114"/>
      <c r="C65" s="264"/>
      <c r="D65" s="116"/>
      <c r="F65" s="86"/>
      <c r="G65" s="56"/>
      <c r="H65" s="260"/>
      <c r="I65" s="260"/>
      <c r="J65" s="260"/>
      <c r="K65" s="260"/>
      <c r="L65" s="260"/>
      <c r="M65" s="260"/>
      <c r="N65" s="88"/>
      <c r="O65" s="55"/>
      <c r="P65" s="260"/>
      <c r="Q65" s="260"/>
      <c r="R65" s="260"/>
      <c r="S65" s="260"/>
      <c r="T65" s="260"/>
      <c r="U65" s="260"/>
      <c r="V65" s="57"/>
      <c r="W65" s="85"/>
      <c r="X65" s="258"/>
      <c r="Y65" s="258"/>
      <c r="Z65" s="258"/>
      <c r="AA65" s="258"/>
      <c r="AB65" s="258"/>
      <c r="AC65" s="258"/>
      <c r="AD65" s="80"/>
    </row>
    <row r="66" spans="2:30" ht="12" customHeight="1" x14ac:dyDescent="0.25">
      <c r="B66" s="114"/>
      <c r="C66" s="264"/>
      <c r="D66" s="116"/>
      <c r="F66" s="86"/>
      <c r="G66" s="56"/>
      <c r="H66" s="260"/>
      <c r="I66" s="260"/>
      <c r="J66" s="260"/>
      <c r="K66" s="260"/>
      <c r="L66" s="260"/>
      <c r="M66" s="260"/>
      <c r="N66" s="88"/>
      <c r="O66" s="55"/>
      <c r="P66" s="260"/>
      <c r="Q66" s="260"/>
      <c r="R66" s="260"/>
      <c r="S66" s="260"/>
      <c r="T66" s="260"/>
      <c r="U66" s="260"/>
      <c r="V66" s="57"/>
      <c r="W66" s="85"/>
      <c r="X66" s="258"/>
      <c r="Y66" s="258"/>
      <c r="Z66" s="258"/>
      <c r="AA66" s="258"/>
      <c r="AB66" s="258"/>
      <c r="AC66" s="258"/>
      <c r="AD66" s="80"/>
    </row>
    <row r="67" spans="2:30" ht="12" customHeight="1" x14ac:dyDescent="0.25">
      <c r="B67" s="114"/>
      <c r="C67" s="264"/>
      <c r="D67" s="116"/>
      <c r="F67" s="86"/>
      <c r="G67" s="56"/>
      <c r="H67" s="269"/>
      <c r="I67" s="269"/>
      <c r="J67" s="269"/>
      <c r="K67" s="269"/>
      <c r="L67" s="269"/>
      <c r="M67" s="269"/>
      <c r="N67" s="88"/>
      <c r="O67" s="55"/>
      <c r="P67" s="260"/>
      <c r="Q67" s="260"/>
      <c r="R67" s="260"/>
      <c r="S67" s="260"/>
      <c r="T67" s="260"/>
      <c r="U67" s="260"/>
      <c r="V67" s="57"/>
      <c r="W67" s="85"/>
      <c r="X67" s="90"/>
      <c r="Y67" s="90"/>
      <c r="Z67" s="90"/>
      <c r="AA67" s="90"/>
      <c r="AB67" s="90"/>
      <c r="AC67" s="90"/>
      <c r="AD67" s="80"/>
    </row>
    <row r="68" spans="2:30" ht="12" customHeight="1" x14ac:dyDescent="0.25">
      <c r="B68" s="117"/>
      <c r="C68" s="265"/>
      <c r="D68" s="118"/>
      <c r="F68" s="86"/>
      <c r="G68" s="56"/>
      <c r="H68" s="269"/>
      <c r="I68" s="269"/>
      <c r="J68" s="269"/>
      <c r="K68" s="269"/>
      <c r="L68" s="269"/>
      <c r="M68" s="269"/>
      <c r="N68" s="87"/>
      <c r="O68" s="55"/>
      <c r="P68" s="260"/>
      <c r="Q68" s="260"/>
      <c r="R68" s="260"/>
      <c r="S68" s="260"/>
      <c r="T68" s="260"/>
      <c r="U68" s="260"/>
      <c r="V68" s="57"/>
      <c r="W68" s="85"/>
      <c r="X68" s="104"/>
      <c r="Y68" s="90"/>
      <c r="Z68" s="90"/>
      <c r="AA68" s="90"/>
      <c r="AB68" s="90"/>
      <c r="AC68" s="90"/>
      <c r="AD68" s="80"/>
    </row>
    <row r="69" spans="2:30" ht="12" customHeight="1" x14ac:dyDescent="0.25">
      <c r="C69" s="66"/>
      <c r="D69" s="66"/>
      <c r="F69" s="86"/>
      <c r="G69" s="56"/>
      <c r="H69" s="101" t="s">
        <v>1675</v>
      </c>
      <c r="I69" s="56"/>
      <c r="J69" s="56"/>
      <c r="K69" s="56"/>
      <c r="L69" s="56"/>
      <c r="M69" s="56"/>
      <c r="N69" s="67"/>
      <c r="O69" s="55"/>
      <c r="P69" s="260"/>
      <c r="Q69" s="260"/>
      <c r="R69" s="260"/>
      <c r="S69" s="260"/>
      <c r="T69" s="260"/>
      <c r="U69" s="260"/>
      <c r="V69" s="57"/>
      <c r="W69" s="85"/>
      <c r="X69" s="258"/>
      <c r="Y69" s="258"/>
      <c r="Z69" s="258"/>
      <c r="AA69" s="258"/>
      <c r="AB69" s="258"/>
      <c r="AC69" s="258"/>
      <c r="AD69" s="80"/>
    </row>
    <row r="70" spans="2:30" ht="12" customHeight="1" x14ac:dyDescent="0.25">
      <c r="C70" s="66"/>
      <c r="D70" s="66"/>
      <c r="F70" s="86"/>
      <c r="G70" s="56"/>
      <c r="H70" s="101"/>
      <c r="I70" s="56"/>
      <c r="J70" s="56"/>
      <c r="K70" s="56"/>
      <c r="L70" s="56"/>
      <c r="M70" s="56"/>
      <c r="N70" s="59"/>
      <c r="O70" s="55"/>
      <c r="P70" s="260"/>
      <c r="Q70" s="260"/>
      <c r="R70" s="260"/>
      <c r="S70" s="260"/>
      <c r="T70" s="260"/>
      <c r="U70" s="260"/>
      <c r="V70" s="57"/>
      <c r="W70" s="85"/>
      <c r="X70" s="258"/>
      <c r="Y70" s="258"/>
      <c r="Z70" s="258"/>
      <c r="AA70" s="258"/>
      <c r="AB70" s="258"/>
      <c r="AC70" s="258"/>
      <c r="AD70" s="80"/>
    </row>
    <row r="71" spans="2:30" ht="12" customHeight="1" x14ac:dyDescent="0.25">
      <c r="C71" s="66"/>
      <c r="D71" s="66"/>
      <c r="F71" s="86"/>
      <c r="G71" s="56"/>
      <c r="H71" s="260" t="s">
        <v>1676</v>
      </c>
      <c r="I71" s="260"/>
      <c r="J71" s="260"/>
      <c r="K71" s="260"/>
      <c r="L71" s="260"/>
      <c r="M71" s="260"/>
      <c r="N71" s="87"/>
      <c r="O71" s="55"/>
      <c r="P71" s="260"/>
      <c r="Q71" s="260"/>
      <c r="R71" s="260"/>
      <c r="S71" s="260"/>
      <c r="T71" s="260"/>
      <c r="U71" s="260"/>
      <c r="V71" s="57"/>
      <c r="W71" s="79"/>
      <c r="X71" s="258"/>
      <c r="Y71" s="258"/>
      <c r="Z71" s="258"/>
      <c r="AA71" s="258"/>
      <c r="AB71" s="258"/>
      <c r="AC71" s="258"/>
      <c r="AD71" s="80"/>
    </row>
    <row r="72" spans="2:30" ht="12" customHeight="1" x14ac:dyDescent="0.25">
      <c r="C72" s="66"/>
      <c r="D72" s="66"/>
      <c r="F72" s="86"/>
      <c r="G72" s="56"/>
      <c r="H72" s="260"/>
      <c r="I72" s="260"/>
      <c r="J72" s="260"/>
      <c r="K72" s="260"/>
      <c r="L72" s="260"/>
      <c r="M72" s="260"/>
      <c r="N72" s="87"/>
      <c r="O72" s="55"/>
      <c r="P72" s="260"/>
      <c r="Q72" s="260"/>
      <c r="R72" s="260"/>
      <c r="S72" s="260"/>
      <c r="T72" s="260"/>
      <c r="U72" s="260"/>
      <c r="V72" s="57"/>
      <c r="W72" s="79"/>
      <c r="X72" s="258"/>
      <c r="Y72" s="258"/>
      <c r="Z72" s="258"/>
      <c r="AA72" s="258"/>
      <c r="AB72" s="258"/>
      <c r="AC72" s="258"/>
      <c r="AD72" s="80"/>
    </row>
    <row r="73" spans="2:30" ht="12" customHeight="1" x14ac:dyDescent="0.25">
      <c r="C73" s="66"/>
      <c r="D73" s="66"/>
      <c r="F73" s="86"/>
      <c r="G73" s="56"/>
      <c r="H73" s="260"/>
      <c r="I73" s="260"/>
      <c r="J73" s="260"/>
      <c r="K73" s="260"/>
      <c r="L73" s="260"/>
      <c r="M73" s="260"/>
      <c r="N73" s="87"/>
      <c r="O73" s="55"/>
      <c r="P73" s="262"/>
      <c r="Q73" s="262"/>
      <c r="R73" s="262"/>
      <c r="S73" s="262"/>
      <c r="T73" s="262"/>
      <c r="U73" s="262"/>
      <c r="V73" s="57"/>
      <c r="W73" s="79"/>
      <c r="X73" s="258"/>
      <c r="Y73" s="258"/>
      <c r="Z73" s="258"/>
      <c r="AA73" s="258"/>
      <c r="AB73" s="258"/>
      <c r="AC73" s="258"/>
      <c r="AD73" s="80"/>
    </row>
    <row r="74" spans="2:30" ht="12" customHeight="1" x14ac:dyDescent="0.25">
      <c r="C74" s="66"/>
      <c r="D74" s="66"/>
      <c r="F74" s="86"/>
      <c r="G74" s="56"/>
      <c r="H74" s="260" t="s">
        <v>1677</v>
      </c>
      <c r="I74" s="260"/>
      <c r="J74" s="260"/>
      <c r="K74" s="260"/>
      <c r="L74" s="260"/>
      <c r="M74" s="260"/>
      <c r="N74" s="88"/>
      <c r="O74" s="55"/>
      <c r="P74" s="97"/>
      <c r="Q74" s="97"/>
      <c r="R74" s="97"/>
      <c r="S74" s="97"/>
      <c r="T74" s="97"/>
      <c r="U74" s="97"/>
      <c r="V74" s="57"/>
      <c r="W74" s="79"/>
      <c r="X74" s="258"/>
      <c r="Y74" s="258"/>
      <c r="Z74" s="258"/>
      <c r="AA74" s="258"/>
      <c r="AB74" s="258"/>
      <c r="AC74" s="258"/>
      <c r="AD74" s="80"/>
    </row>
    <row r="75" spans="2:30" ht="12" customHeight="1" x14ac:dyDescent="0.25">
      <c r="C75" s="66"/>
      <c r="D75" s="66"/>
      <c r="F75" s="86"/>
      <c r="G75" s="56"/>
      <c r="H75" s="260"/>
      <c r="I75" s="260"/>
      <c r="J75" s="260"/>
      <c r="K75" s="260"/>
      <c r="L75" s="260"/>
      <c r="M75" s="260"/>
      <c r="N75" s="88"/>
      <c r="O75" s="69"/>
      <c r="P75" s="267" t="s">
        <v>1388</v>
      </c>
      <c r="Q75" s="267"/>
      <c r="R75" s="267"/>
      <c r="S75" s="267"/>
      <c r="T75" s="267"/>
      <c r="U75" s="267"/>
      <c r="V75" s="70"/>
      <c r="W75" s="79"/>
      <c r="X75" s="258"/>
      <c r="Y75" s="258"/>
      <c r="Z75" s="258"/>
      <c r="AA75" s="258"/>
      <c r="AB75" s="258"/>
      <c r="AC75" s="258"/>
      <c r="AD75" s="80"/>
    </row>
    <row r="76" spans="2:30" ht="12" customHeight="1" x14ac:dyDescent="0.25">
      <c r="C76" s="66"/>
      <c r="D76" s="66"/>
      <c r="F76" s="86"/>
      <c r="G76" s="56"/>
      <c r="H76" s="260"/>
      <c r="I76" s="260"/>
      <c r="J76" s="260"/>
      <c r="K76" s="260"/>
      <c r="L76" s="260"/>
      <c r="M76" s="260"/>
      <c r="N76" s="88"/>
      <c r="O76" s="69"/>
      <c r="P76" s="267"/>
      <c r="Q76" s="267"/>
      <c r="R76" s="267"/>
      <c r="S76" s="267"/>
      <c r="T76" s="267"/>
      <c r="U76" s="267"/>
      <c r="V76" s="71"/>
      <c r="W76" s="79"/>
      <c r="X76" s="258"/>
      <c r="Y76" s="258"/>
      <c r="Z76" s="258"/>
      <c r="AA76" s="258"/>
      <c r="AB76" s="258"/>
      <c r="AC76" s="258"/>
      <c r="AD76" s="80"/>
    </row>
    <row r="77" spans="2:30" ht="12" customHeight="1" x14ac:dyDescent="0.25">
      <c r="C77" s="66"/>
      <c r="D77" s="66"/>
      <c r="F77" s="86"/>
      <c r="G77" s="56"/>
      <c r="H77" s="260"/>
      <c r="I77" s="260"/>
      <c r="J77" s="260"/>
      <c r="K77" s="260"/>
      <c r="L77" s="260"/>
      <c r="M77" s="260"/>
      <c r="N77" s="88"/>
      <c r="O77" s="72"/>
      <c r="P77" s="89"/>
      <c r="Q77" s="90"/>
      <c r="R77" s="90"/>
      <c r="S77" s="90"/>
      <c r="T77" s="90"/>
      <c r="U77" s="90"/>
      <c r="V77" s="78"/>
      <c r="W77" s="79"/>
      <c r="X77" s="258"/>
      <c r="Y77" s="258"/>
      <c r="Z77" s="258"/>
      <c r="AA77" s="258"/>
      <c r="AB77" s="258"/>
      <c r="AC77" s="258"/>
      <c r="AD77" s="80"/>
    </row>
    <row r="78" spans="2:30" ht="12" customHeight="1" x14ac:dyDescent="0.25">
      <c r="C78" s="66"/>
      <c r="D78" s="66"/>
      <c r="F78" s="86"/>
      <c r="G78" s="56"/>
      <c r="H78" s="260"/>
      <c r="I78" s="260"/>
      <c r="J78" s="260"/>
      <c r="K78" s="260"/>
      <c r="L78" s="260"/>
      <c r="M78" s="260"/>
      <c r="N78" s="98"/>
      <c r="O78" s="72"/>
      <c r="P78" s="266" t="s">
        <v>1551</v>
      </c>
      <c r="Q78" s="266"/>
      <c r="R78" s="266"/>
      <c r="S78" s="266"/>
      <c r="T78" s="266"/>
      <c r="U78" s="266"/>
      <c r="V78" s="78"/>
      <c r="W78" s="79"/>
      <c r="X78" s="258"/>
      <c r="Y78" s="258"/>
      <c r="Z78" s="258"/>
      <c r="AA78" s="258"/>
      <c r="AB78" s="258"/>
      <c r="AC78" s="258"/>
      <c r="AD78" s="80"/>
    </row>
    <row r="79" spans="2:30" ht="12" customHeight="1" x14ac:dyDescent="0.25">
      <c r="F79" s="86"/>
      <c r="G79" s="56"/>
      <c r="H79" s="56"/>
      <c r="I79" s="56"/>
      <c r="J79" s="56"/>
      <c r="K79" s="56"/>
      <c r="L79" s="56"/>
      <c r="M79" s="56"/>
      <c r="N79" s="98"/>
      <c r="O79" s="72"/>
      <c r="P79" s="258" t="s">
        <v>1557</v>
      </c>
      <c r="Q79" s="258"/>
      <c r="R79" s="258"/>
      <c r="S79" s="258"/>
      <c r="T79" s="258"/>
      <c r="U79" s="258"/>
      <c r="V79" s="78"/>
      <c r="W79" s="79"/>
      <c r="X79" s="258"/>
      <c r="Y79" s="258"/>
      <c r="Z79" s="258"/>
      <c r="AA79" s="258"/>
      <c r="AB79" s="258"/>
      <c r="AC79" s="258"/>
      <c r="AD79" s="80"/>
    </row>
    <row r="80" spans="2:30" ht="12" customHeight="1" x14ac:dyDescent="0.25">
      <c r="F80" s="86"/>
      <c r="G80" s="56"/>
      <c r="H80" s="101" t="s">
        <v>1678</v>
      </c>
      <c r="I80" s="56"/>
      <c r="J80" s="56"/>
      <c r="K80" s="56"/>
      <c r="L80" s="56"/>
      <c r="M80" s="56"/>
      <c r="N80" s="105"/>
      <c r="O80" s="72"/>
      <c r="P80" s="258"/>
      <c r="Q80" s="258"/>
      <c r="R80" s="258"/>
      <c r="S80" s="258"/>
      <c r="T80" s="258"/>
      <c r="U80" s="258"/>
      <c r="V80" s="78"/>
      <c r="W80" s="79"/>
      <c r="X80" s="258"/>
      <c r="Y80" s="258"/>
      <c r="Z80" s="258"/>
      <c r="AA80" s="258"/>
      <c r="AB80" s="258"/>
      <c r="AC80" s="258"/>
      <c r="AD80" s="80"/>
    </row>
    <row r="81" spans="6:30" ht="12" customHeight="1" x14ac:dyDescent="0.25">
      <c r="F81" s="86"/>
      <c r="G81" s="56"/>
      <c r="H81" s="260" t="s">
        <v>1679</v>
      </c>
      <c r="I81" s="260"/>
      <c r="J81" s="260"/>
      <c r="K81" s="260"/>
      <c r="L81" s="260"/>
      <c r="M81" s="260"/>
      <c r="N81" s="98"/>
      <c r="O81" s="72"/>
      <c r="P81" s="258" t="s">
        <v>1558</v>
      </c>
      <c r="Q81" s="258"/>
      <c r="R81" s="258"/>
      <c r="S81" s="258"/>
      <c r="T81" s="258"/>
      <c r="U81" s="258"/>
      <c r="V81" s="78"/>
      <c r="W81" s="79"/>
      <c r="X81" s="258"/>
      <c r="Y81" s="258"/>
      <c r="Z81" s="258"/>
      <c r="AA81" s="258"/>
      <c r="AB81" s="258"/>
      <c r="AC81" s="258"/>
      <c r="AD81" s="80"/>
    </row>
    <row r="82" spans="6:30" ht="12" customHeight="1" x14ac:dyDescent="0.25">
      <c r="F82" s="86"/>
      <c r="G82" s="56"/>
      <c r="H82" s="260"/>
      <c r="I82" s="260"/>
      <c r="J82" s="260"/>
      <c r="K82" s="260"/>
      <c r="L82" s="260"/>
      <c r="M82" s="260"/>
      <c r="N82" s="98"/>
      <c r="O82" s="72"/>
      <c r="P82" s="258"/>
      <c r="Q82" s="258"/>
      <c r="R82" s="258"/>
      <c r="S82" s="258"/>
      <c r="T82" s="258"/>
      <c r="U82" s="258"/>
      <c r="V82" s="78"/>
      <c r="W82" s="79"/>
      <c r="X82" s="258"/>
      <c r="Y82" s="258"/>
      <c r="Z82" s="258"/>
      <c r="AA82" s="258"/>
      <c r="AB82" s="258"/>
      <c r="AC82" s="258"/>
      <c r="AD82" s="80"/>
    </row>
    <row r="83" spans="6:30" ht="12" customHeight="1" x14ac:dyDescent="0.25">
      <c r="F83" s="86"/>
      <c r="G83" s="56"/>
      <c r="H83" s="260" t="s">
        <v>1680</v>
      </c>
      <c r="I83" s="260"/>
      <c r="J83" s="260"/>
      <c r="K83" s="260"/>
      <c r="L83" s="260"/>
      <c r="M83" s="260"/>
      <c r="N83" s="93"/>
      <c r="O83" s="72"/>
      <c r="P83" s="258" t="s">
        <v>1561</v>
      </c>
      <c r="Q83" s="258"/>
      <c r="R83" s="258"/>
      <c r="S83" s="258"/>
      <c r="T83" s="258"/>
      <c r="U83" s="258"/>
      <c r="V83" s="76"/>
      <c r="W83" s="79"/>
      <c r="X83" s="258"/>
      <c r="Y83" s="258"/>
      <c r="Z83" s="258"/>
      <c r="AA83" s="258"/>
      <c r="AB83" s="258"/>
      <c r="AC83" s="258"/>
      <c r="AD83" s="80"/>
    </row>
    <row r="84" spans="6:30" ht="12" customHeight="1" x14ac:dyDescent="0.25">
      <c r="F84" s="86"/>
      <c r="G84" s="56"/>
      <c r="H84" s="260"/>
      <c r="I84" s="260"/>
      <c r="J84" s="260"/>
      <c r="K84" s="260"/>
      <c r="L84" s="260"/>
      <c r="M84" s="260"/>
      <c r="N84" s="98"/>
      <c r="O84" s="72"/>
      <c r="P84" s="258"/>
      <c r="Q84" s="258"/>
      <c r="R84" s="258"/>
      <c r="S84" s="258"/>
      <c r="T84" s="258"/>
      <c r="U84" s="258"/>
      <c r="V84" s="76"/>
      <c r="W84" s="79"/>
      <c r="X84" s="258"/>
      <c r="Y84" s="258"/>
      <c r="Z84" s="258"/>
      <c r="AA84" s="258"/>
      <c r="AB84" s="258"/>
      <c r="AC84" s="258"/>
      <c r="AD84" s="80"/>
    </row>
    <row r="85" spans="6:30" ht="12" customHeight="1" x14ac:dyDescent="0.25">
      <c r="F85" s="86"/>
      <c r="G85" s="56"/>
      <c r="H85" s="260"/>
      <c r="I85" s="260"/>
      <c r="J85" s="260"/>
      <c r="K85" s="260"/>
      <c r="L85" s="260"/>
      <c r="M85" s="260"/>
      <c r="N85" s="98"/>
      <c r="O85" s="72"/>
      <c r="P85" s="258"/>
      <c r="Q85" s="258"/>
      <c r="R85" s="258"/>
      <c r="S85" s="258"/>
      <c r="T85" s="258"/>
      <c r="U85" s="258"/>
      <c r="V85" s="77"/>
      <c r="W85" s="79"/>
      <c r="X85" s="90"/>
      <c r="Y85" s="90"/>
      <c r="Z85" s="90"/>
      <c r="AA85" s="90"/>
      <c r="AB85" s="90"/>
      <c r="AC85" s="90"/>
      <c r="AD85" s="80"/>
    </row>
    <row r="86" spans="6:30" ht="12" customHeight="1" x14ac:dyDescent="0.25">
      <c r="F86" s="86"/>
      <c r="G86" s="56"/>
      <c r="H86" s="260"/>
      <c r="I86" s="260"/>
      <c r="J86" s="260"/>
      <c r="K86" s="260"/>
      <c r="L86" s="260"/>
      <c r="M86" s="260"/>
      <c r="N86" s="98"/>
      <c r="O86" s="72"/>
      <c r="P86" s="258"/>
      <c r="Q86" s="258"/>
      <c r="R86" s="258"/>
      <c r="S86" s="258"/>
      <c r="T86" s="258"/>
      <c r="U86" s="258"/>
      <c r="V86" s="77"/>
      <c r="W86" s="79"/>
      <c r="X86" s="90"/>
      <c r="Y86" s="90"/>
      <c r="Z86" s="90"/>
      <c r="AA86" s="90"/>
      <c r="AB86" s="90"/>
      <c r="AC86" s="90"/>
      <c r="AD86" s="80"/>
    </row>
    <row r="87" spans="6:30" ht="12" customHeight="1" x14ac:dyDescent="0.25">
      <c r="F87" s="86"/>
      <c r="G87" s="56"/>
      <c r="H87" s="260"/>
      <c r="I87" s="260"/>
      <c r="J87" s="260"/>
      <c r="K87" s="260"/>
      <c r="L87" s="260"/>
      <c r="M87" s="260"/>
      <c r="N87" s="98"/>
      <c r="O87" s="72"/>
      <c r="P87" s="258"/>
      <c r="Q87" s="258"/>
      <c r="R87" s="258"/>
      <c r="S87" s="258"/>
      <c r="T87" s="258"/>
      <c r="U87" s="258"/>
      <c r="V87" s="77"/>
      <c r="W87" s="79"/>
      <c r="X87" s="90"/>
      <c r="Y87" s="90"/>
      <c r="Z87" s="90"/>
      <c r="AA87" s="90"/>
      <c r="AB87" s="90"/>
      <c r="AC87" s="90"/>
      <c r="AD87" s="80"/>
    </row>
    <row r="88" spans="6:30" ht="12" customHeight="1" x14ac:dyDescent="0.25">
      <c r="F88" s="86"/>
      <c r="G88" s="56"/>
      <c r="H88" s="268"/>
      <c r="I88" s="268"/>
      <c r="J88" s="268"/>
      <c r="K88" s="268"/>
      <c r="L88" s="268"/>
      <c r="M88" s="268"/>
      <c r="N88" s="98"/>
      <c r="O88" s="72"/>
      <c r="P88" s="258"/>
      <c r="Q88" s="258"/>
      <c r="R88" s="258"/>
      <c r="S88" s="258"/>
      <c r="T88" s="258"/>
      <c r="U88" s="258"/>
      <c r="V88" s="77"/>
      <c r="W88" s="79"/>
      <c r="X88" s="90"/>
      <c r="Y88" s="90"/>
      <c r="Z88" s="90"/>
      <c r="AA88" s="90"/>
      <c r="AB88" s="90"/>
      <c r="AC88" s="90"/>
      <c r="AD88" s="80"/>
    </row>
    <row r="89" spans="6:30" ht="12" customHeight="1" x14ac:dyDescent="0.25">
      <c r="F89" s="86"/>
      <c r="G89" s="56"/>
      <c r="H89" s="274"/>
      <c r="I89" s="268"/>
      <c r="J89" s="268"/>
      <c r="K89" s="268"/>
      <c r="L89" s="268"/>
      <c r="M89" s="268"/>
      <c r="N89" s="98"/>
      <c r="O89" s="72"/>
      <c r="P89" s="258"/>
      <c r="Q89" s="258"/>
      <c r="R89" s="258"/>
      <c r="S89" s="258"/>
      <c r="T89" s="258"/>
      <c r="U89" s="258"/>
      <c r="V89" s="74"/>
      <c r="W89" s="79"/>
      <c r="X89" s="90"/>
      <c r="Y89" s="90"/>
      <c r="Z89" s="90"/>
      <c r="AA89" s="90"/>
      <c r="AB89" s="90"/>
      <c r="AC89" s="90"/>
      <c r="AD89" s="80"/>
    </row>
    <row r="90" spans="6:30" ht="12" customHeight="1" x14ac:dyDescent="0.25">
      <c r="F90" s="86"/>
      <c r="G90" s="56"/>
      <c r="H90" s="274"/>
      <c r="I90" s="268"/>
      <c r="J90" s="268"/>
      <c r="K90" s="268"/>
      <c r="L90" s="268"/>
      <c r="M90" s="268"/>
      <c r="N90" s="98"/>
      <c r="O90" s="72"/>
      <c r="P90" s="258"/>
      <c r="Q90" s="258"/>
      <c r="R90" s="258"/>
      <c r="S90" s="258"/>
      <c r="T90" s="258"/>
      <c r="U90" s="258"/>
      <c r="V90" s="74"/>
      <c r="W90" s="79"/>
      <c r="X90" s="90"/>
      <c r="Y90" s="90"/>
      <c r="Z90" s="90"/>
      <c r="AA90" s="90"/>
      <c r="AB90" s="90"/>
      <c r="AC90" s="90"/>
      <c r="AD90" s="80"/>
    </row>
    <row r="91" spans="6:30" ht="12" customHeight="1" x14ac:dyDescent="0.25">
      <c r="F91" s="86"/>
      <c r="G91" s="56"/>
      <c r="H91" s="274"/>
      <c r="I91" s="268"/>
      <c r="J91" s="268"/>
      <c r="K91" s="268"/>
      <c r="L91" s="268"/>
      <c r="M91" s="268"/>
      <c r="N91" s="98"/>
      <c r="O91" s="72"/>
      <c r="P91" s="258"/>
      <c r="Q91" s="258"/>
      <c r="R91" s="258"/>
      <c r="S91" s="258"/>
      <c r="T91" s="258"/>
      <c r="U91" s="258"/>
      <c r="V91" s="74"/>
      <c r="W91" s="79"/>
      <c r="X91" s="90"/>
      <c r="Y91" s="90"/>
      <c r="Z91" s="90"/>
      <c r="AA91" s="90"/>
      <c r="AB91" s="90"/>
      <c r="AC91" s="90"/>
      <c r="AD91" s="80"/>
    </row>
    <row r="92" spans="6:30" ht="12" customHeight="1" x14ac:dyDescent="0.25">
      <c r="F92" s="86"/>
      <c r="G92" s="56"/>
      <c r="H92" s="274"/>
      <c r="I92" s="268"/>
      <c r="J92" s="268"/>
      <c r="K92" s="268"/>
      <c r="L92" s="268"/>
      <c r="M92" s="268"/>
      <c r="N92" s="98"/>
      <c r="O92" s="72"/>
      <c r="P92" s="258"/>
      <c r="Q92" s="258"/>
      <c r="R92" s="258"/>
      <c r="S92" s="258"/>
      <c r="T92" s="258"/>
      <c r="U92" s="258"/>
      <c r="V92" s="74"/>
      <c r="W92" s="79"/>
      <c r="X92" s="90"/>
      <c r="Y92" s="90"/>
      <c r="Z92" s="90"/>
      <c r="AA92" s="90"/>
      <c r="AB92" s="90"/>
      <c r="AC92" s="90"/>
      <c r="AD92" s="80"/>
    </row>
    <row r="93" spans="6:30" ht="12" customHeight="1" x14ac:dyDescent="0.25">
      <c r="F93" s="86"/>
      <c r="G93" s="56"/>
      <c r="H93" s="274"/>
      <c r="I93" s="268"/>
      <c r="J93" s="268"/>
      <c r="K93" s="268"/>
      <c r="L93" s="268"/>
      <c r="M93" s="268"/>
      <c r="N93" s="98"/>
      <c r="O93" s="72"/>
      <c r="P93" s="90"/>
      <c r="Q93" s="90"/>
      <c r="R93" s="90"/>
      <c r="S93" s="90"/>
      <c r="T93" s="90"/>
      <c r="U93" s="90"/>
      <c r="V93" s="74"/>
      <c r="W93" s="79"/>
      <c r="X93" s="90"/>
      <c r="Y93" s="90"/>
      <c r="Z93" s="90"/>
      <c r="AA93" s="90"/>
      <c r="AB93" s="90"/>
      <c r="AC93" s="90"/>
      <c r="AD93" s="80"/>
    </row>
    <row r="94" spans="6:30" ht="12" customHeight="1" x14ac:dyDescent="0.25">
      <c r="F94" s="86"/>
      <c r="G94" s="56"/>
      <c r="H94" s="274"/>
      <c r="I94" s="268"/>
      <c r="J94" s="268"/>
      <c r="K94" s="268"/>
      <c r="L94" s="268"/>
      <c r="M94" s="268"/>
      <c r="N94" s="98"/>
      <c r="O94" s="72"/>
      <c r="P94" s="104" t="s">
        <v>1544</v>
      </c>
      <c r="Q94" s="90"/>
      <c r="R94" s="90"/>
      <c r="S94" s="108"/>
      <c r="T94" s="108"/>
      <c r="U94" s="108"/>
      <c r="V94" s="74"/>
      <c r="W94" s="79"/>
      <c r="X94" s="90"/>
      <c r="Y94" s="90"/>
      <c r="Z94" s="90"/>
      <c r="AA94" s="90"/>
      <c r="AB94" s="90"/>
      <c r="AC94" s="90"/>
      <c r="AD94" s="80"/>
    </row>
    <row r="95" spans="6:30" ht="12" customHeight="1" x14ac:dyDescent="0.25">
      <c r="F95" s="86"/>
      <c r="G95" s="56"/>
      <c r="H95" s="274"/>
      <c r="I95" s="268"/>
      <c r="J95" s="268"/>
      <c r="K95" s="268"/>
      <c r="L95" s="268"/>
      <c r="M95" s="268"/>
      <c r="N95" s="98"/>
      <c r="O95" s="72"/>
      <c r="P95" s="258" t="s">
        <v>1559</v>
      </c>
      <c r="Q95" s="258"/>
      <c r="R95" s="258"/>
      <c r="S95" s="258"/>
      <c r="T95" s="258"/>
      <c r="U95" s="258"/>
      <c r="V95" s="74"/>
      <c r="W95" s="79"/>
      <c r="X95" s="90"/>
      <c r="Y95" s="90"/>
      <c r="Z95" s="90"/>
      <c r="AA95" s="90"/>
      <c r="AB95" s="90"/>
      <c r="AC95" s="90"/>
      <c r="AD95" s="80"/>
    </row>
    <row r="96" spans="6:30" ht="12" customHeight="1" x14ac:dyDescent="0.25">
      <c r="F96" s="86"/>
      <c r="G96" s="56"/>
      <c r="H96" s="274"/>
      <c r="I96" s="268"/>
      <c r="J96" s="268"/>
      <c r="K96" s="268"/>
      <c r="L96" s="268"/>
      <c r="M96" s="268"/>
      <c r="N96" s="98"/>
      <c r="O96" s="72"/>
      <c r="P96" s="258"/>
      <c r="Q96" s="258"/>
      <c r="R96" s="258"/>
      <c r="S96" s="258"/>
      <c r="T96" s="258"/>
      <c r="U96" s="258"/>
      <c r="V96" s="74"/>
      <c r="W96" s="79"/>
      <c r="X96" s="90"/>
      <c r="Y96" s="90"/>
      <c r="Z96" s="90"/>
      <c r="AA96" s="90"/>
      <c r="AB96" s="90"/>
      <c r="AC96" s="90"/>
      <c r="AD96" s="80"/>
    </row>
    <row r="97" spans="3:30" ht="12" customHeight="1" x14ac:dyDescent="0.25">
      <c r="F97" s="86"/>
      <c r="G97" s="56"/>
      <c r="H97" s="274"/>
      <c r="I97" s="268"/>
      <c r="J97" s="268"/>
      <c r="K97" s="268"/>
      <c r="L97" s="268"/>
      <c r="M97" s="268"/>
      <c r="N97" s="98"/>
      <c r="O97" s="72"/>
      <c r="P97" s="258" t="s">
        <v>1560</v>
      </c>
      <c r="Q97" s="258"/>
      <c r="R97" s="258"/>
      <c r="S97" s="258"/>
      <c r="T97" s="258"/>
      <c r="U97" s="258"/>
      <c r="V97" s="74"/>
      <c r="W97" s="79"/>
      <c r="X97" s="90"/>
      <c r="Y97" s="90"/>
      <c r="Z97" s="90"/>
      <c r="AA97" s="90"/>
      <c r="AB97" s="90"/>
      <c r="AC97" s="90"/>
      <c r="AD97" s="80"/>
    </row>
    <row r="98" spans="3:30" ht="12" customHeight="1" x14ac:dyDescent="0.25">
      <c r="F98" s="86"/>
      <c r="G98" s="56"/>
      <c r="H98" s="274"/>
      <c r="I98" s="268"/>
      <c r="J98" s="268"/>
      <c r="K98" s="268"/>
      <c r="L98" s="268"/>
      <c r="M98" s="268"/>
      <c r="N98" s="98"/>
      <c r="O98" s="72"/>
      <c r="P98" s="258"/>
      <c r="Q98" s="258"/>
      <c r="R98" s="258"/>
      <c r="S98" s="258"/>
      <c r="T98" s="258"/>
      <c r="U98" s="258"/>
      <c r="V98" s="74"/>
      <c r="W98" s="79"/>
      <c r="X98" s="90"/>
      <c r="Y98" s="90"/>
      <c r="Z98" s="90"/>
      <c r="AA98" s="90"/>
      <c r="AB98" s="90"/>
      <c r="AC98" s="90"/>
      <c r="AD98" s="80"/>
    </row>
    <row r="99" spans="3:30" ht="12" customHeight="1" x14ac:dyDescent="0.25">
      <c r="C99" s="66"/>
      <c r="F99" s="86"/>
      <c r="G99" s="56"/>
      <c r="H99" s="274"/>
      <c r="I99" s="268"/>
      <c r="J99" s="268"/>
      <c r="K99" s="268"/>
      <c r="L99" s="268"/>
      <c r="M99" s="268"/>
      <c r="N99" s="98"/>
      <c r="O99" s="72"/>
      <c r="P99" s="258"/>
      <c r="Q99" s="258"/>
      <c r="R99" s="258"/>
      <c r="S99" s="258"/>
      <c r="T99" s="258"/>
      <c r="U99" s="258"/>
      <c r="V99" s="74"/>
      <c r="W99" s="79"/>
      <c r="X99" s="90"/>
      <c r="Y99" s="90"/>
      <c r="Z99" s="90"/>
      <c r="AA99" s="90"/>
      <c r="AB99" s="90"/>
      <c r="AC99" s="90"/>
      <c r="AD99" s="80"/>
    </row>
    <row r="100" spans="3:30" ht="12" customHeight="1" x14ac:dyDescent="0.25">
      <c r="F100" s="86"/>
      <c r="G100" s="56"/>
      <c r="H100" s="274"/>
      <c r="I100" s="268"/>
      <c r="J100" s="268"/>
      <c r="K100" s="268"/>
      <c r="L100" s="268"/>
      <c r="M100" s="268"/>
      <c r="N100" s="98"/>
      <c r="O100" s="72"/>
      <c r="P100" s="258"/>
      <c r="Q100" s="258"/>
      <c r="R100" s="258"/>
      <c r="S100" s="258"/>
      <c r="T100" s="258"/>
      <c r="U100" s="258"/>
      <c r="V100" s="74"/>
      <c r="W100" s="79"/>
      <c r="X100" s="90"/>
      <c r="Y100" s="90"/>
      <c r="Z100" s="90"/>
      <c r="AA100" s="90"/>
      <c r="AB100" s="90"/>
      <c r="AC100" s="90"/>
      <c r="AD100" s="80"/>
    </row>
    <row r="101" spans="3:30" ht="12" customHeight="1" x14ac:dyDescent="0.25">
      <c r="F101" s="86"/>
      <c r="G101" s="56"/>
      <c r="H101" s="274"/>
      <c r="I101" s="268"/>
      <c r="J101" s="268"/>
      <c r="K101" s="268"/>
      <c r="L101" s="268"/>
      <c r="M101" s="268"/>
      <c r="N101" s="98"/>
      <c r="O101" s="72"/>
      <c r="P101" s="258"/>
      <c r="Q101" s="258"/>
      <c r="R101" s="258"/>
      <c r="S101" s="258"/>
      <c r="T101" s="258"/>
      <c r="U101" s="258"/>
      <c r="V101" s="74"/>
      <c r="W101" s="79"/>
      <c r="X101" s="90"/>
      <c r="Y101" s="90"/>
      <c r="Z101" s="90"/>
      <c r="AA101" s="90"/>
      <c r="AB101" s="90"/>
      <c r="AC101" s="90"/>
      <c r="AD101" s="80"/>
    </row>
    <row r="102" spans="3:30" ht="12" customHeight="1" x14ac:dyDescent="0.25">
      <c r="F102" s="86"/>
      <c r="G102" s="56"/>
      <c r="H102" s="274"/>
      <c r="I102" s="268"/>
      <c r="J102" s="268"/>
      <c r="K102" s="268"/>
      <c r="L102" s="268"/>
      <c r="M102" s="268"/>
      <c r="N102" s="98"/>
      <c r="O102" s="72"/>
      <c r="P102" s="258"/>
      <c r="Q102" s="258"/>
      <c r="R102" s="258"/>
      <c r="S102" s="258"/>
      <c r="T102" s="258"/>
      <c r="U102" s="258"/>
      <c r="V102" s="74"/>
      <c r="W102" s="79"/>
      <c r="X102" s="90"/>
      <c r="Y102" s="90"/>
      <c r="Z102" s="90"/>
      <c r="AA102" s="90"/>
      <c r="AB102" s="90"/>
      <c r="AC102" s="90"/>
      <c r="AD102" s="80"/>
    </row>
    <row r="103" spans="3:30" ht="12" customHeight="1" x14ac:dyDescent="0.25">
      <c r="F103" s="86"/>
      <c r="G103" s="56"/>
      <c r="H103" s="106"/>
      <c r="I103" s="106"/>
      <c r="J103" s="106"/>
      <c r="K103" s="106"/>
      <c r="L103" s="106"/>
      <c r="M103" s="106"/>
      <c r="N103" s="98"/>
      <c r="O103" s="72"/>
      <c r="P103" s="258"/>
      <c r="Q103" s="258"/>
      <c r="R103" s="258"/>
      <c r="S103" s="258"/>
      <c r="T103" s="258"/>
      <c r="U103" s="258"/>
      <c r="V103" s="74"/>
      <c r="W103" s="79"/>
      <c r="X103" s="90"/>
      <c r="Y103" s="90"/>
      <c r="Z103" s="90"/>
      <c r="AA103" s="90"/>
      <c r="AB103" s="90"/>
      <c r="AC103" s="90"/>
      <c r="AD103" s="80"/>
    </row>
    <row r="104" spans="3:30" ht="12" customHeight="1" x14ac:dyDescent="0.25">
      <c r="F104" s="86"/>
      <c r="G104" s="56"/>
      <c r="H104" s="106"/>
      <c r="I104" s="106"/>
      <c r="J104" s="106"/>
      <c r="K104" s="106"/>
      <c r="L104" s="106"/>
      <c r="M104" s="106"/>
      <c r="N104" s="98"/>
      <c r="O104" s="72"/>
      <c r="P104" s="258"/>
      <c r="Q104" s="258"/>
      <c r="R104" s="258"/>
      <c r="S104" s="258"/>
      <c r="T104" s="258"/>
      <c r="U104" s="258"/>
      <c r="V104" s="74"/>
      <c r="W104" s="79"/>
      <c r="X104" s="90"/>
      <c r="Y104" s="90"/>
      <c r="Z104" s="90"/>
      <c r="AA104" s="90"/>
      <c r="AB104" s="90"/>
      <c r="AC104" s="90"/>
      <c r="AD104" s="80"/>
    </row>
    <row r="105" spans="3:30" ht="12" customHeight="1" x14ac:dyDescent="0.25">
      <c r="F105" s="86"/>
      <c r="G105" s="56"/>
      <c r="H105" s="107"/>
      <c r="I105" s="107"/>
      <c r="J105" s="107"/>
      <c r="K105" s="107"/>
      <c r="L105" s="107"/>
      <c r="M105" s="107"/>
      <c r="N105" s="98"/>
      <c r="O105" s="72"/>
      <c r="P105" s="90"/>
      <c r="Q105" s="90"/>
      <c r="R105" s="90"/>
      <c r="S105" s="90"/>
      <c r="T105" s="90"/>
      <c r="U105" s="90"/>
      <c r="V105" s="74"/>
      <c r="W105" s="79"/>
      <c r="X105" s="90"/>
      <c r="Y105" s="90"/>
      <c r="Z105" s="90"/>
      <c r="AA105" s="90"/>
      <c r="AB105" s="90"/>
      <c r="AC105" s="90"/>
      <c r="AD105" s="80"/>
    </row>
    <row r="106" spans="3:30" ht="12" customHeight="1" x14ac:dyDescent="0.25">
      <c r="F106" s="86"/>
      <c r="G106" s="56"/>
      <c r="H106" s="107"/>
      <c r="I106" s="107"/>
      <c r="J106" s="107"/>
      <c r="K106" s="107"/>
      <c r="L106" s="107"/>
      <c r="M106" s="107"/>
      <c r="N106" s="98"/>
      <c r="O106" s="72"/>
      <c r="P106" s="90"/>
      <c r="Q106" s="90"/>
      <c r="R106" s="90"/>
      <c r="S106" s="90"/>
      <c r="T106" s="90"/>
      <c r="U106" s="90"/>
      <c r="V106" s="74"/>
      <c r="W106" s="79"/>
      <c r="X106" s="90"/>
      <c r="Y106" s="90"/>
      <c r="Z106" s="90"/>
      <c r="AA106" s="90"/>
      <c r="AB106" s="90"/>
      <c r="AC106" s="90"/>
      <c r="AD106" s="80"/>
    </row>
    <row r="107" spans="3:30" ht="12" customHeight="1" x14ac:dyDescent="0.25">
      <c r="F107" s="86"/>
      <c r="G107" s="56"/>
      <c r="H107" s="107"/>
      <c r="I107" s="107"/>
      <c r="J107" s="107"/>
      <c r="K107" s="107"/>
      <c r="L107" s="107"/>
      <c r="M107" s="107"/>
      <c r="N107" s="98"/>
      <c r="O107" s="72"/>
      <c r="P107" s="90"/>
      <c r="Q107" s="90"/>
      <c r="R107" s="90"/>
      <c r="S107" s="90"/>
      <c r="T107" s="90"/>
      <c r="U107" s="90"/>
      <c r="V107" s="74"/>
      <c r="W107" s="79"/>
      <c r="X107" s="90"/>
      <c r="Y107" s="90"/>
      <c r="Z107" s="90"/>
      <c r="AA107" s="90"/>
      <c r="AB107" s="90"/>
      <c r="AC107" s="90"/>
      <c r="AD107" s="80"/>
    </row>
    <row r="108" spans="3:30" ht="12" customHeight="1" x14ac:dyDescent="0.25">
      <c r="F108" s="86"/>
      <c r="G108" s="56"/>
      <c r="H108" s="107"/>
      <c r="I108" s="107"/>
      <c r="J108" s="107"/>
      <c r="K108" s="107"/>
      <c r="L108" s="107"/>
      <c r="M108" s="107"/>
      <c r="N108" s="98"/>
      <c r="O108" s="72"/>
      <c r="P108" s="90"/>
      <c r="Q108" s="90"/>
      <c r="R108" s="90"/>
      <c r="S108" s="90"/>
      <c r="T108" s="90"/>
      <c r="U108" s="90"/>
      <c r="V108" s="74"/>
      <c r="W108" s="79"/>
      <c r="X108" s="90"/>
      <c r="Y108" s="90"/>
      <c r="Z108" s="90"/>
      <c r="AA108" s="90"/>
      <c r="AB108" s="90"/>
      <c r="AC108" s="90"/>
      <c r="AD108" s="80"/>
    </row>
    <row r="109" spans="3:30" ht="12" customHeight="1" x14ac:dyDescent="0.25">
      <c r="F109" s="86"/>
      <c r="G109" s="56"/>
      <c r="H109" s="107"/>
      <c r="I109" s="107"/>
      <c r="J109" s="107"/>
      <c r="K109" s="107"/>
      <c r="L109" s="107"/>
      <c r="M109" s="107"/>
      <c r="N109" s="98"/>
      <c r="O109" s="72"/>
      <c r="P109" s="90"/>
      <c r="Q109" s="90"/>
      <c r="R109" s="90"/>
      <c r="S109" s="90"/>
      <c r="T109" s="90"/>
      <c r="U109" s="90"/>
      <c r="V109" s="74"/>
      <c r="W109" s="79"/>
      <c r="X109" s="90"/>
      <c r="Y109" s="90"/>
      <c r="Z109" s="90"/>
      <c r="AA109" s="90"/>
      <c r="AB109" s="90"/>
      <c r="AC109" s="90"/>
      <c r="AD109" s="80"/>
    </row>
  </sheetData>
  <sheetProtection algorithmName="SHA-512" hashValue="re24cuecmIMvP++h3P7UH+eTbjzSwAMFOceWBoYCdCq9K0F3Q6yVcOR3Cfmn5owpZQ7pVzm8jPbVGVNbnq87BA==" saltValue="vYUO6Sw662TIE+l4kLM0lQ==" spinCount="100000" sheet="1" objects="1" scenarios="1"/>
  <mergeCells count="82">
    <mergeCell ref="I93:M102"/>
    <mergeCell ref="H93:H102"/>
    <mergeCell ref="B18:D19"/>
    <mergeCell ref="H24:M25"/>
    <mergeCell ref="H26:M28"/>
    <mergeCell ref="I89:M92"/>
    <mergeCell ref="H89:H92"/>
    <mergeCell ref="H48:M50"/>
    <mergeCell ref="H51:M54"/>
    <mergeCell ref="H42:M44"/>
    <mergeCell ref="H81:M82"/>
    <mergeCell ref="H74:M77"/>
    <mergeCell ref="H56:M58"/>
    <mergeCell ref="H71:M73"/>
    <mergeCell ref="H59:M62"/>
    <mergeCell ref="H63:M66"/>
    <mergeCell ref="H39:M41"/>
    <mergeCell ref="H46:M47"/>
    <mergeCell ref="H1:M2"/>
    <mergeCell ref="H29:M32"/>
    <mergeCell ref="X7:AC10"/>
    <mergeCell ref="X11:AC11"/>
    <mergeCell ref="X14:AC15"/>
    <mergeCell ref="X21:AC21"/>
    <mergeCell ref="X5:AC6"/>
    <mergeCell ref="X24:AC25"/>
    <mergeCell ref="X16:AC20"/>
    <mergeCell ref="H6:M8"/>
    <mergeCell ref="X26:AC29"/>
    <mergeCell ref="X30:AC30"/>
    <mergeCell ref="X33:AC34"/>
    <mergeCell ref="X41:AC42"/>
    <mergeCell ref="X48:AC49"/>
    <mergeCell ref="P75:U76"/>
    <mergeCell ref="H83:M88"/>
    <mergeCell ref="H67:M68"/>
    <mergeCell ref="H78:M78"/>
    <mergeCell ref="X57:AC57"/>
    <mergeCell ref="X60:AC61"/>
    <mergeCell ref="X62:AC65"/>
    <mergeCell ref="X84:AC84"/>
    <mergeCell ref="X69:AC71"/>
    <mergeCell ref="X66:AC66"/>
    <mergeCell ref="P68:U69"/>
    <mergeCell ref="H33:M34"/>
    <mergeCell ref="H35:M38"/>
    <mergeCell ref="C21:C68"/>
    <mergeCell ref="H9:M21"/>
    <mergeCell ref="P103:U104"/>
    <mergeCell ref="P100:U102"/>
    <mergeCell ref="P97:U99"/>
    <mergeCell ref="P95:U96"/>
    <mergeCell ref="P78:U78"/>
    <mergeCell ref="P79:U80"/>
    <mergeCell ref="P81:U82"/>
    <mergeCell ref="P83:U86"/>
    <mergeCell ref="P87:U91"/>
    <mergeCell ref="P92:U92"/>
    <mergeCell ref="P7:U10"/>
    <mergeCell ref="P11:U14"/>
    <mergeCell ref="P22:U26"/>
    <mergeCell ref="P28:U31"/>
    <mergeCell ref="P17:U20"/>
    <mergeCell ref="P70:U72"/>
    <mergeCell ref="P73:U73"/>
    <mergeCell ref="P65:U67"/>
    <mergeCell ref="P33:U37"/>
    <mergeCell ref="P62:U62"/>
    <mergeCell ref="P58:U61"/>
    <mergeCell ref="P42:U45"/>
    <mergeCell ref="P46:U47"/>
    <mergeCell ref="P54:U57"/>
    <mergeCell ref="P48:U48"/>
    <mergeCell ref="P51:U53"/>
    <mergeCell ref="P38:U39"/>
    <mergeCell ref="P40:U41"/>
    <mergeCell ref="X72:AC83"/>
    <mergeCell ref="X35:AC39"/>
    <mergeCell ref="X43:AC44"/>
    <mergeCell ref="X45:AC47"/>
    <mergeCell ref="X51:AC52"/>
    <mergeCell ref="X53:AC56"/>
  </mergeCells>
  <pageMargins left="0.7" right="0.7" top="0.75" bottom="0.75" header="0.3" footer="0.3"/>
  <pageSetup paperSize="8"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236"/>
  <sheetViews>
    <sheetView showGridLines="0" zoomScaleNormal="100" workbookViewId="0">
      <selection activeCell="E5" sqref="E5"/>
    </sheetView>
  </sheetViews>
  <sheetFormatPr defaultColWidth="8.85546875" defaultRowHeight="11.25" x14ac:dyDescent="0.25"/>
  <cols>
    <col min="1" max="1" width="6.7109375" style="3" customWidth="1"/>
    <col min="2" max="2" width="62.7109375" style="10" customWidth="1"/>
    <col min="3" max="3" width="8.42578125" style="10" customWidth="1"/>
    <col min="4" max="4" width="7.28515625" style="3" customWidth="1"/>
    <col min="5" max="5" width="18.7109375" style="131" customWidth="1"/>
    <col min="6" max="6" width="17.42578125" style="133" customWidth="1"/>
    <col min="7" max="7" width="12.42578125" style="133" customWidth="1"/>
    <col min="8" max="16384" width="8.85546875" style="3"/>
  </cols>
  <sheetData>
    <row r="1" spans="1:7" ht="11.25" customHeight="1" x14ac:dyDescent="0.25">
      <c r="A1" s="289" t="s">
        <v>1528</v>
      </c>
      <c r="B1" s="289"/>
      <c r="C1" s="289"/>
      <c r="D1" s="289"/>
      <c r="E1" s="289"/>
      <c r="F1" s="289"/>
      <c r="G1" s="289"/>
    </row>
    <row r="2" spans="1:7" ht="11.25" customHeight="1" x14ac:dyDescent="0.25">
      <c r="A2" s="289"/>
      <c r="B2" s="289"/>
      <c r="C2" s="289"/>
      <c r="D2" s="289"/>
      <c r="E2" s="289"/>
      <c r="F2" s="289"/>
      <c r="G2" s="289"/>
    </row>
    <row r="3" spans="1:7" s="7" customFormat="1" ht="10.5" x14ac:dyDescent="0.25">
      <c r="A3" s="7" t="s">
        <v>1119</v>
      </c>
      <c r="B3" s="7" t="s">
        <v>814</v>
      </c>
      <c r="C3" s="7" t="s">
        <v>1384</v>
      </c>
      <c r="D3" s="7" t="s">
        <v>1132</v>
      </c>
      <c r="E3" s="184" t="s">
        <v>1385</v>
      </c>
      <c r="F3" s="132" t="s">
        <v>1321</v>
      </c>
      <c r="G3" s="132" t="s">
        <v>1322</v>
      </c>
    </row>
    <row r="4" spans="1:7" s="22" customFormat="1" x14ac:dyDescent="0.25">
      <c r="A4" s="241" t="s">
        <v>1344</v>
      </c>
      <c r="B4" s="242" t="s">
        <v>1340</v>
      </c>
      <c r="C4" s="242"/>
      <c r="D4" s="242"/>
      <c r="E4" s="243"/>
      <c r="F4" s="244"/>
      <c r="G4" s="244"/>
    </row>
    <row r="5" spans="1:7" s="8" customFormat="1" x14ac:dyDescent="0.25">
      <c r="A5" s="22" t="s">
        <v>1345</v>
      </c>
      <c r="B5" s="21" t="s">
        <v>981</v>
      </c>
      <c r="C5" s="21" t="s">
        <v>1380</v>
      </c>
      <c r="D5" s="2">
        <v>15</v>
      </c>
      <c r="E5" s="172"/>
      <c r="F5" s="109">
        <f>Manut_Equipam_SEJUS[[#This Row],[VALOR UNID]]/2*(Manut_Equipam_Dados[[#This Row],[QUANT]])</f>
        <v>0</v>
      </c>
      <c r="G5" s="109">
        <f>Manut_Equipam_SEJUS[[#This Row],[VALOR MÊS]]*12</f>
        <v>0</v>
      </c>
    </row>
    <row r="6" spans="1:7" s="8" customFormat="1" x14ac:dyDescent="0.25">
      <c r="A6" s="22" t="s">
        <v>1346</v>
      </c>
      <c r="B6" s="21" t="s">
        <v>982</v>
      </c>
      <c r="C6" s="21" t="s">
        <v>1380</v>
      </c>
      <c r="D6" s="2">
        <v>15</v>
      </c>
      <c r="E6" s="238"/>
      <c r="F6" s="249">
        <f>Manut_Equipam_SEJUS[[#This Row],[VALOR UNID]]/2*(Manut_Equipam_Dados[[#This Row],[QUANT]])</f>
        <v>0</v>
      </c>
      <c r="G6" s="249">
        <f>Manut_Equipam_SEJUS[[#This Row],[VALOR MÊS]]*12</f>
        <v>0</v>
      </c>
    </row>
    <row r="7" spans="1:7" s="8" customFormat="1" x14ac:dyDescent="0.25">
      <c r="A7" s="22" t="s">
        <v>1347</v>
      </c>
      <c r="B7" s="21" t="s">
        <v>983</v>
      </c>
      <c r="C7" s="21" t="s">
        <v>1380</v>
      </c>
      <c r="D7" s="2">
        <v>2</v>
      </c>
      <c r="E7" s="172"/>
      <c r="F7" s="109">
        <f>Manut_Equipam_SEJUS[[#This Row],[VALOR UNID]]/2*(Manut_Equipam_Dados[[#This Row],[QUANT]])</f>
        <v>0</v>
      </c>
      <c r="G7" s="109">
        <f>Manut_Equipam_SEJUS[[#This Row],[VALOR MÊS]]*12</f>
        <v>0</v>
      </c>
    </row>
    <row r="8" spans="1:7" s="8" customFormat="1" x14ac:dyDescent="0.25">
      <c r="A8" s="22" t="s">
        <v>1348</v>
      </c>
      <c r="B8" s="21" t="s">
        <v>984</v>
      </c>
      <c r="C8" s="21" t="s">
        <v>1380</v>
      </c>
      <c r="D8" s="2">
        <v>2</v>
      </c>
      <c r="E8" s="238"/>
      <c r="F8" s="249">
        <f>Manut_Equipam_SEJUS[[#This Row],[VALOR UNID]]/2*(Manut_Equipam_Dados[[#This Row],[QUANT]])</f>
        <v>0</v>
      </c>
      <c r="G8" s="249">
        <f>Manut_Equipam_SEJUS[[#This Row],[VALOR MÊS]]*12</f>
        <v>0</v>
      </c>
    </row>
    <row r="9" spans="1:7" s="8" customFormat="1" x14ac:dyDescent="0.25">
      <c r="A9" s="22" t="s">
        <v>1349</v>
      </c>
      <c r="B9" s="21" t="s">
        <v>985</v>
      </c>
      <c r="C9" s="21" t="s">
        <v>1380</v>
      </c>
      <c r="D9" s="2">
        <v>7</v>
      </c>
      <c r="E9" s="172"/>
      <c r="F9" s="109">
        <f>Manut_Equipam_SEJUS[[#This Row],[VALOR UNID]]/2*(Manut_Equipam_Dados[[#This Row],[QUANT]])</f>
        <v>0</v>
      </c>
      <c r="G9" s="109">
        <f>Manut_Equipam_SEJUS[[#This Row],[VALOR MÊS]]*12</f>
        <v>0</v>
      </c>
    </row>
    <row r="10" spans="1:7" s="8" customFormat="1" x14ac:dyDescent="0.25">
      <c r="A10" s="22" t="s">
        <v>1350</v>
      </c>
      <c r="B10" s="21" t="s">
        <v>986</v>
      </c>
      <c r="C10" s="21" t="s">
        <v>1380</v>
      </c>
      <c r="D10" s="2">
        <v>19</v>
      </c>
      <c r="E10" s="238"/>
      <c r="F10" s="249">
        <f>Manut_Equipam_SEJUS[[#This Row],[VALOR UNID]]/2*(Manut_Equipam_Dados[[#This Row],[QUANT]])</f>
        <v>0</v>
      </c>
      <c r="G10" s="249">
        <f>Manut_Equipam_SEJUS[[#This Row],[VALOR MÊS]]*12</f>
        <v>0</v>
      </c>
    </row>
    <row r="11" spans="1:7" s="8" customFormat="1" x14ac:dyDescent="0.25">
      <c r="A11" s="22" t="s">
        <v>1351</v>
      </c>
      <c r="B11" s="21" t="s">
        <v>987</v>
      </c>
      <c r="C11" s="21" t="s">
        <v>1380</v>
      </c>
      <c r="D11" s="2">
        <v>15</v>
      </c>
      <c r="E11" s="172"/>
      <c r="F11" s="109">
        <f>Manut_Equipam_SEJUS[[#This Row],[VALOR UNID]]/2*(Manut_Equipam_Dados[[#This Row],[QUANT]])</f>
        <v>0</v>
      </c>
      <c r="G11" s="109">
        <f>Manut_Equipam_SEJUS[[#This Row],[VALOR MÊS]]*12</f>
        <v>0</v>
      </c>
    </row>
    <row r="12" spans="1:7" s="8" customFormat="1" x14ac:dyDescent="0.25">
      <c r="A12" s="22" t="s">
        <v>1352</v>
      </c>
      <c r="B12" s="21" t="s">
        <v>988</v>
      </c>
      <c r="C12" s="21" t="s">
        <v>1380</v>
      </c>
      <c r="D12" s="2">
        <v>3</v>
      </c>
      <c r="E12" s="238"/>
      <c r="F12" s="249">
        <f>Manut_Equipam_SEJUS[[#This Row],[VALOR UNID]]/2*(Manut_Equipam_Dados[[#This Row],[QUANT]])</f>
        <v>0</v>
      </c>
      <c r="G12" s="249">
        <f>Manut_Equipam_SEJUS[[#This Row],[VALOR MÊS]]*12</f>
        <v>0</v>
      </c>
    </row>
    <row r="13" spans="1:7" s="8" customFormat="1" x14ac:dyDescent="0.25">
      <c r="A13" s="22" t="s">
        <v>1353</v>
      </c>
      <c r="B13" s="21" t="s">
        <v>989</v>
      </c>
      <c r="C13" s="21" t="s">
        <v>1380</v>
      </c>
      <c r="D13" s="2">
        <v>2</v>
      </c>
      <c r="E13" s="172"/>
      <c r="F13" s="109">
        <f>Manut_Equipam_SEJUS[[#This Row],[VALOR UNID]]/2*(Manut_Equipam_Dados[[#This Row],[QUANT]])</f>
        <v>0</v>
      </c>
      <c r="G13" s="109">
        <f>Manut_Equipam_SEJUS[[#This Row],[VALOR MÊS]]*12</f>
        <v>0</v>
      </c>
    </row>
    <row r="14" spans="1:7" s="8" customFormat="1" x14ac:dyDescent="0.25">
      <c r="A14" s="22" t="s">
        <v>1354</v>
      </c>
      <c r="B14" s="21" t="s">
        <v>1542</v>
      </c>
      <c r="C14" s="21" t="s">
        <v>1380</v>
      </c>
      <c r="D14" s="2">
        <v>35</v>
      </c>
      <c r="E14" s="238"/>
      <c r="F14" s="249">
        <f>Manut_Equipam_SEJUS[[#This Row],[VALOR UNID]]/2*(Manut_Equipam_Dados[[#This Row],[QUANT]])</f>
        <v>0</v>
      </c>
      <c r="G14" s="249">
        <f>Manut_Equipam_SEJUS[[#This Row],[VALOR MÊS]]*12</f>
        <v>0</v>
      </c>
    </row>
    <row r="15" spans="1:7" s="8" customFormat="1" x14ac:dyDescent="0.25">
      <c r="A15" s="22" t="s">
        <v>1355</v>
      </c>
      <c r="B15" s="21" t="s">
        <v>990</v>
      </c>
      <c r="C15" s="21" t="s">
        <v>1380</v>
      </c>
      <c r="D15" s="2">
        <v>2</v>
      </c>
      <c r="E15" s="172"/>
      <c r="F15" s="109">
        <f>Manut_Equipam_SEJUS[[#This Row],[VALOR UNID]]/2*(Manut_Equipam_Dados[[#This Row],[QUANT]])</f>
        <v>0</v>
      </c>
      <c r="G15" s="109">
        <f>Manut_Equipam_SEJUS[[#This Row],[VALOR MÊS]]*12</f>
        <v>0</v>
      </c>
    </row>
    <row r="16" spans="1:7" s="8" customFormat="1" x14ac:dyDescent="0.25">
      <c r="A16" s="22" t="s">
        <v>1356</v>
      </c>
      <c r="B16" s="21" t="s">
        <v>991</v>
      </c>
      <c r="C16" s="21" t="s">
        <v>1380</v>
      </c>
      <c r="D16" s="2">
        <v>15</v>
      </c>
      <c r="E16" s="238"/>
      <c r="F16" s="249">
        <f>Manut_Equipam_SEJUS[[#This Row],[VALOR UNID]]/2*(Manut_Equipam_Dados[[#This Row],[QUANT]])</f>
        <v>0</v>
      </c>
      <c r="G16" s="249">
        <f>Manut_Equipam_SEJUS[[#This Row],[VALOR MÊS]]*12</f>
        <v>0</v>
      </c>
    </row>
    <row r="17" spans="1:7" s="8" customFormat="1" x14ac:dyDescent="0.25">
      <c r="A17" s="22" t="s">
        <v>1357</v>
      </c>
      <c r="B17" s="21" t="s">
        <v>992</v>
      </c>
      <c r="C17" s="21" t="s">
        <v>1380</v>
      </c>
      <c r="D17" s="2">
        <v>30</v>
      </c>
      <c r="E17" s="172"/>
      <c r="F17" s="109">
        <f>Manut_Equipam_SEJUS[[#This Row],[VALOR UNID]]/2*(Manut_Equipam_Dados[[#This Row],[QUANT]])</f>
        <v>0</v>
      </c>
      <c r="G17" s="109">
        <f>Manut_Equipam_SEJUS[[#This Row],[VALOR MÊS]]*12</f>
        <v>0</v>
      </c>
    </row>
    <row r="18" spans="1:7" s="8" customFormat="1" x14ac:dyDescent="0.25">
      <c r="A18" s="22" t="s">
        <v>1358</v>
      </c>
      <c r="B18" s="21" t="s">
        <v>993</v>
      </c>
      <c r="C18" s="21" t="s">
        <v>1380</v>
      </c>
      <c r="D18" s="2">
        <v>15</v>
      </c>
      <c r="E18" s="238"/>
      <c r="F18" s="249">
        <f>Manut_Equipam_SEJUS[[#This Row],[VALOR UNID]]/2*(Manut_Equipam_Dados[[#This Row],[QUANT]])</f>
        <v>0</v>
      </c>
      <c r="G18" s="249">
        <f>Manut_Equipam_SEJUS[[#This Row],[VALOR MÊS]]*12</f>
        <v>0</v>
      </c>
    </row>
    <row r="19" spans="1:7" s="8" customFormat="1" x14ac:dyDescent="0.25">
      <c r="A19" s="22" t="s">
        <v>1359</v>
      </c>
      <c r="B19" s="21" t="s">
        <v>997</v>
      </c>
      <c r="C19" s="21" t="s">
        <v>1380</v>
      </c>
      <c r="D19" s="2">
        <v>15</v>
      </c>
      <c r="E19" s="172"/>
      <c r="F19" s="109">
        <f>Manut_Equipam_SEJUS[[#This Row],[VALOR UNID]]/2*(Manut_Equipam_Dados[[#This Row],[QUANT]])</f>
        <v>0</v>
      </c>
      <c r="G19" s="109">
        <f>Manut_Equipam_SEJUS[[#This Row],[VALOR MÊS]]*12</f>
        <v>0</v>
      </c>
    </row>
    <row r="20" spans="1:7" s="8" customFormat="1" x14ac:dyDescent="0.25">
      <c r="A20" s="22" t="s">
        <v>1360</v>
      </c>
      <c r="B20" s="21" t="s">
        <v>998</v>
      </c>
      <c r="C20" s="21" t="s">
        <v>1380</v>
      </c>
      <c r="D20" s="2">
        <v>14</v>
      </c>
      <c r="E20" s="238"/>
      <c r="F20" s="249">
        <f>Manut_Equipam_SEJUS[[#This Row],[VALOR UNID]]/2*(Manut_Equipam_Dados[[#This Row],[QUANT]])</f>
        <v>0</v>
      </c>
      <c r="G20" s="249">
        <f>Manut_Equipam_SEJUS[[#This Row],[VALOR MÊS]]*12</f>
        <v>0</v>
      </c>
    </row>
    <row r="21" spans="1:7" s="8" customFormat="1" x14ac:dyDescent="0.25">
      <c r="A21" s="22" t="s">
        <v>1361</v>
      </c>
      <c r="B21" s="21" t="s">
        <v>999</v>
      </c>
      <c r="C21" s="21" t="s">
        <v>1380</v>
      </c>
      <c r="D21" s="2">
        <v>1</v>
      </c>
      <c r="E21" s="172"/>
      <c r="F21" s="109">
        <f>Manut_Equipam_SEJUS[[#This Row],[VALOR UNID]]/2*(Manut_Equipam_Dados[[#This Row],[QUANT]])</f>
        <v>0</v>
      </c>
      <c r="G21" s="109">
        <f>Manut_Equipam_SEJUS[[#This Row],[VALOR MÊS]]*12</f>
        <v>0</v>
      </c>
    </row>
    <row r="22" spans="1:7" s="8" customFormat="1" x14ac:dyDescent="0.25">
      <c r="A22" s="22" t="s">
        <v>1362</v>
      </c>
      <c r="B22" s="21" t="s">
        <v>1001</v>
      </c>
      <c r="C22" s="21" t="s">
        <v>1380</v>
      </c>
      <c r="D22" s="2">
        <v>14</v>
      </c>
      <c r="E22" s="238"/>
      <c r="F22" s="249">
        <f>Manut_Equipam_SEJUS[[#This Row],[VALOR UNID]]/2*(Manut_Equipam_Dados[[#This Row],[QUANT]])</f>
        <v>0</v>
      </c>
      <c r="G22" s="249">
        <f>Manut_Equipam_SEJUS[[#This Row],[VALOR MÊS]]*12</f>
        <v>0</v>
      </c>
    </row>
    <row r="23" spans="1:7" s="8" customFormat="1" x14ac:dyDescent="0.25">
      <c r="A23" s="22" t="s">
        <v>1363</v>
      </c>
      <c r="B23" s="21" t="s">
        <v>1002</v>
      </c>
      <c r="C23" s="21" t="s">
        <v>1380</v>
      </c>
      <c r="D23" s="2">
        <v>15</v>
      </c>
      <c r="E23" s="172"/>
      <c r="F23" s="109">
        <f>Manut_Equipam_SEJUS[[#This Row],[VALOR UNID]]/2*(Manut_Equipam_Dados[[#This Row],[QUANT]])</f>
        <v>0</v>
      </c>
      <c r="G23" s="109">
        <f>Manut_Equipam_SEJUS[[#This Row],[VALOR MÊS]]*12</f>
        <v>0</v>
      </c>
    </row>
    <row r="24" spans="1:7" s="8" customFormat="1" x14ac:dyDescent="0.25">
      <c r="A24" s="22" t="s">
        <v>1364</v>
      </c>
      <c r="B24" s="21" t="s">
        <v>1003</v>
      </c>
      <c r="C24" s="21" t="s">
        <v>1380</v>
      </c>
      <c r="D24" s="2">
        <v>15</v>
      </c>
      <c r="E24" s="238"/>
      <c r="F24" s="249">
        <f>Manut_Equipam_SEJUS[[#This Row],[VALOR UNID]]/2*(Manut_Equipam_Dados[[#This Row],[QUANT]])</f>
        <v>0</v>
      </c>
      <c r="G24" s="249">
        <f>Manut_Equipam_SEJUS[[#This Row],[VALOR MÊS]]*12</f>
        <v>0</v>
      </c>
    </row>
    <row r="25" spans="1:7" s="8" customFormat="1" x14ac:dyDescent="0.25">
      <c r="A25" s="22" t="s">
        <v>1365</v>
      </c>
      <c r="B25" s="21" t="s">
        <v>1004</v>
      </c>
      <c r="C25" s="21" t="s">
        <v>1380</v>
      </c>
      <c r="D25" s="2">
        <v>15</v>
      </c>
      <c r="E25" s="172"/>
      <c r="F25" s="109">
        <f>Manut_Equipam_SEJUS[[#This Row],[VALOR UNID]]/2*(Manut_Equipam_Dados[[#This Row],[QUANT]])</f>
        <v>0</v>
      </c>
      <c r="G25" s="109">
        <f>Manut_Equipam_SEJUS[[#This Row],[VALOR MÊS]]*12</f>
        <v>0</v>
      </c>
    </row>
    <row r="26" spans="1:7" s="8" customFormat="1" x14ac:dyDescent="0.25">
      <c r="A26" s="22" t="s">
        <v>1366</v>
      </c>
      <c r="B26" s="21" t="s">
        <v>1005</v>
      </c>
      <c r="C26" s="21" t="s">
        <v>1380</v>
      </c>
      <c r="D26" s="2">
        <v>1</v>
      </c>
      <c r="E26" s="238"/>
      <c r="F26" s="249">
        <f>Manut_Equipam_SEJUS[[#This Row],[VALOR UNID]]/2*(Manut_Equipam_Dados[[#This Row],[QUANT]])</f>
        <v>0</v>
      </c>
      <c r="G26" s="249">
        <f>Manut_Equipam_SEJUS[[#This Row],[VALOR MÊS]]*12</f>
        <v>0</v>
      </c>
    </row>
    <row r="27" spans="1:7" s="8" customFormat="1" x14ac:dyDescent="0.25">
      <c r="A27" s="22" t="s">
        <v>1367</v>
      </c>
      <c r="B27" s="21" t="s">
        <v>1006</v>
      </c>
      <c r="C27" s="21" t="s">
        <v>1380</v>
      </c>
      <c r="D27" s="2">
        <v>30</v>
      </c>
      <c r="E27" s="172"/>
      <c r="F27" s="109">
        <f>Manut_Equipam_SEJUS[[#This Row],[VALOR UNID]]/2*(Manut_Equipam_Dados[[#This Row],[QUANT]])</f>
        <v>0</v>
      </c>
      <c r="G27" s="109">
        <f>Manut_Equipam_SEJUS[[#This Row],[VALOR MÊS]]*12</f>
        <v>0</v>
      </c>
    </row>
    <row r="28" spans="1:7" s="8" customFormat="1" x14ac:dyDescent="0.25">
      <c r="A28" s="22" t="s">
        <v>1368</v>
      </c>
      <c r="B28" s="21" t="s">
        <v>1007</v>
      </c>
      <c r="C28" s="21" t="s">
        <v>1380</v>
      </c>
      <c r="D28" s="2">
        <v>30</v>
      </c>
      <c r="E28" s="238"/>
      <c r="F28" s="249">
        <f>Manut_Equipam_SEJUS[[#This Row],[VALOR UNID]]/2*(Manut_Equipam_Dados[[#This Row],[QUANT]])</f>
        <v>0</v>
      </c>
      <c r="G28" s="249">
        <f>Manut_Equipam_SEJUS[[#This Row],[VALOR MÊS]]*12</f>
        <v>0</v>
      </c>
    </row>
    <row r="29" spans="1:7" s="8" customFormat="1" x14ac:dyDescent="0.25">
      <c r="A29" s="22" t="s">
        <v>1369</v>
      </c>
      <c r="B29" s="21" t="s">
        <v>1008</v>
      </c>
      <c r="C29" s="21" t="s">
        <v>1380</v>
      </c>
      <c r="D29" s="2">
        <v>15</v>
      </c>
      <c r="E29" s="172"/>
      <c r="F29" s="109">
        <f>Manut_Equipam_SEJUS[[#This Row],[VALOR UNID]]/2*(Manut_Equipam_Dados[[#This Row],[QUANT]])</f>
        <v>0</v>
      </c>
      <c r="G29" s="109">
        <f>Manut_Equipam_SEJUS[[#This Row],[VALOR MÊS]]*12</f>
        <v>0</v>
      </c>
    </row>
    <row r="30" spans="1:7" s="8" customFormat="1" x14ac:dyDescent="0.25">
      <c r="A30" s="22" t="s">
        <v>1370</v>
      </c>
      <c r="B30" s="21" t="s">
        <v>1009</v>
      </c>
      <c r="C30" s="21" t="s">
        <v>1380</v>
      </c>
      <c r="D30" s="2">
        <v>36</v>
      </c>
      <c r="E30" s="238"/>
      <c r="F30" s="249">
        <f>Manut_Equipam_SEJUS[[#This Row],[VALOR UNID]]/2*(Manut_Equipam_Dados[[#This Row],[QUANT]])</f>
        <v>0</v>
      </c>
      <c r="G30" s="249">
        <f>Manut_Equipam_SEJUS[[#This Row],[VALOR MÊS]]*12</f>
        <v>0</v>
      </c>
    </row>
    <row r="31" spans="1:7" s="8" customFormat="1" x14ac:dyDescent="0.25">
      <c r="A31" s="241" t="s">
        <v>1371</v>
      </c>
      <c r="B31" s="242" t="s">
        <v>1393</v>
      </c>
      <c r="C31" s="242"/>
      <c r="D31" s="245"/>
      <c r="E31" s="243"/>
      <c r="F31" s="246"/>
      <c r="G31" s="246"/>
    </row>
    <row r="32" spans="1:7" s="8" customFormat="1" ht="56.25" x14ac:dyDescent="0.25">
      <c r="A32" s="22" t="s">
        <v>1374</v>
      </c>
      <c r="B32" s="21" t="s">
        <v>1341</v>
      </c>
      <c r="C32" s="21" t="s">
        <v>1380</v>
      </c>
      <c r="D32" s="2">
        <v>14</v>
      </c>
      <c r="E32" s="238"/>
      <c r="F32" s="249">
        <f>Manut_Equipam_SEJUS[[#This Row],[VALOR UNID]]*Manut_Equipam_Dados[[#This Row],[QUANT]]</f>
        <v>0</v>
      </c>
      <c r="G32" s="249">
        <f>Manut_Equipam_SEJUS[[#This Row],[VALOR MÊS]]*12</f>
        <v>0</v>
      </c>
    </row>
    <row r="33" spans="1:7" s="8" customFormat="1" x14ac:dyDescent="0.25">
      <c r="A33" s="241" t="s">
        <v>1372</v>
      </c>
      <c r="B33" s="241" t="s">
        <v>1342</v>
      </c>
      <c r="C33" s="242"/>
      <c r="D33" s="245"/>
      <c r="E33" s="243"/>
      <c r="F33" s="246"/>
      <c r="G33" s="246"/>
    </row>
    <row r="34" spans="1:7" s="8" customFormat="1" x14ac:dyDescent="0.25">
      <c r="A34" s="5" t="s">
        <v>1375</v>
      </c>
      <c r="B34" s="1" t="s">
        <v>1000</v>
      </c>
      <c r="C34" s="1"/>
      <c r="D34" s="47"/>
      <c r="E34" s="238"/>
      <c r="F34" s="249"/>
      <c r="G34" s="249"/>
    </row>
    <row r="35" spans="1:7" s="8" customFormat="1" x14ac:dyDescent="0.25">
      <c r="A35" s="22" t="s">
        <v>1552</v>
      </c>
      <c r="B35" s="21" t="s">
        <v>1389</v>
      </c>
      <c r="C35" s="21" t="s">
        <v>1380</v>
      </c>
      <c r="D35" s="2">
        <v>99</v>
      </c>
      <c r="E35" s="172"/>
      <c r="F35" s="109">
        <f>Manut_Equipam_SEJUS[[#This Row],[VALOR UNID]]/2*(Manut_Equipam_Dados[[#This Row],[QUANT]])</f>
        <v>0</v>
      </c>
      <c r="G35" s="109">
        <f>Manut_Equipam_SEJUS[[#This Row],[VALOR MÊS]]*12</f>
        <v>0</v>
      </c>
    </row>
    <row r="36" spans="1:7" s="8" customFormat="1" x14ac:dyDescent="0.25">
      <c r="A36" s="22" t="s">
        <v>1553</v>
      </c>
      <c r="B36" s="21" t="s">
        <v>1390</v>
      </c>
      <c r="C36" s="21" t="s">
        <v>1594</v>
      </c>
      <c r="D36" s="2">
        <v>99</v>
      </c>
      <c r="E36" s="238"/>
      <c r="F36" s="249">
        <f>Manut_Equipam_SEJUS[[#This Row],[VALOR UNID]]/2*(Manut_Equipam_Dados[[#This Row],[QUANT]])</f>
        <v>0</v>
      </c>
      <c r="G36" s="249">
        <f>Manut_Equipam_SEJUS[[#This Row],[VALOR MÊS]]*12</f>
        <v>0</v>
      </c>
    </row>
    <row r="37" spans="1:7" s="8" customFormat="1" x14ac:dyDescent="0.25">
      <c r="A37" s="22" t="s">
        <v>1554</v>
      </c>
      <c r="B37" s="21" t="s">
        <v>1391</v>
      </c>
      <c r="C37" s="21" t="s">
        <v>1381</v>
      </c>
      <c r="D37" s="2">
        <v>99</v>
      </c>
      <c r="E37" s="172"/>
      <c r="F37" s="109">
        <f>Manut_Equipam_SEJUS[[#This Row],[VALOR UNID]]/2*(Manut_Equipam_Dados[[#This Row],[QUANT]])</f>
        <v>0</v>
      </c>
      <c r="G37" s="109">
        <f>Manut_Equipam_SEJUS[[#This Row],[VALOR MÊS]]*12</f>
        <v>0</v>
      </c>
    </row>
    <row r="38" spans="1:7" s="8" customFormat="1" x14ac:dyDescent="0.25">
      <c r="A38" s="241" t="s">
        <v>1373</v>
      </c>
      <c r="B38" s="242" t="s">
        <v>1343</v>
      </c>
      <c r="C38" s="242"/>
      <c r="D38" s="245"/>
      <c r="E38" s="243"/>
      <c r="F38" s="246"/>
      <c r="G38" s="246"/>
    </row>
    <row r="39" spans="1:7" s="8" customFormat="1" x14ac:dyDescent="0.25">
      <c r="A39" s="22" t="s">
        <v>1376</v>
      </c>
      <c r="B39" s="22" t="s">
        <v>1562</v>
      </c>
      <c r="C39" s="21" t="s">
        <v>1380</v>
      </c>
      <c r="D39" s="2"/>
      <c r="E39" s="172"/>
      <c r="F39" s="109">
        <f>Manut_Equipam_SEJUS[[#This Row],[VALOR UNID]]/2*(Manut_Equipam_Dados[[#This Row],[QUANT]])</f>
        <v>0</v>
      </c>
      <c r="G39" s="109">
        <f>Manut_Equipam_SEJUS[[#This Row],[VALOR MÊS]]*12</f>
        <v>0</v>
      </c>
    </row>
    <row r="40" spans="1:7" s="8" customFormat="1" x14ac:dyDescent="0.25">
      <c r="A40" s="22" t="s">
        <v>1377</v>
      </c>
      <c r="B40" s="21" t="s">
        <v>994</v>
      </c>
      <c r="C40" s="21" t="s">
        <v>1380</v>
      </c>
      <c r="D40" s="2">
        <v>15</v>
      </c>
      <c r="E40" s="238"/>
      <c r="F40" s="249">
        <f>Manut_Equipam_SEJUS[[#This Row],[VALOR UNID]]/2*(Manut_Equipam_Dados[[#This Row],[QUANT]])</f>
        <v>0</v>
      </c>
      <c r="G40" s="249">
        <f>Manut_Equipam_SEJUS[[#This Row],[VALOR MÊS]]*12</f>
        <v>0</v>
      </c>
    </row>
    <row r="41" spans="1:7" s="8" customFormat="1" x14ac:dyDescent="0.25">
      <c r="A41" s="22" t="s">
        <v>1378</v>
      </c>
      <c r="B41" s="21" t="s">
        <v>995</v>
      </c>
      <c r="C41" s="21" t="s">
        <v>1380</v>
      </c>
      <c r="D41" s="2">
        <v>1</v>
      </c>
      <c r="E41" s="172"/>
      <c r="F41" s="15">
        <f>Manut_Equipam_SEJUS[[#This Row],[VALOR UNID]]/2*(Manut_Equipam_Dados[[#This Row],[QUANT]])</f>
        <v>0</v>
      </c>
      <c r="G41" s="15">
        <f>Manut_Equipam_SEJUS[[#This Row],[VALOR MÊS]]*12</f>
        <v>0</v>
      </c>
    </row>
    <row r="42" spans="1:7" s="8" customFormat="1" x14ac:dyDescent="0.25">
      <c r="A42" s="22" t="s">
        <v>1379</v>
      </c>
      <c r="B42" s="21" t="s">
        <v>996</v>
      </c>
      <c r="C42" s="21" t="s">
        <v>1380</v>
      </c>
      <c r="D42" s="2">
        <v>1</v>
      </c>
      <c r="E42" s="238"/>
      <c r="F42" s="249">
        <f>Manut_Equipam_SEJUS[[#This Row],[VALOR UNID]]/2*(Manut_Equipam_Dados[[#This Row],[QUANT]])</f>
        <v>0</v>
      </c>
      <c r="G42" s="249">
        <f>Manut_Equipam_SEJUS[[#This Row],[VALOR MÊS]]*12</f>
        <v>0</v>
      </c>
    </row>
    <row r="43" spans="1:7" s="8" customFormat="1" x14ac:dyDescent="0.25">
      <c r="A43" s="241" t="s">
        <v>1527</v>
      </c>
      <c r="B43" s="242" t="s">
        <v>1529</v>
      </c>
      <c r="C43" s="247"/>
      <c r="D43" s="248"/>
      <c r="E43" s="243"/>
      <c r="F43" s="244"/>
      <c r="G43" s="244"/>
    </row>
    <row r="44" spans="1:7" s="8" customFormat="1" x14ac:dyDescent="0.25">
      <c r="A44" s="110" t="s">
        <v>1530</v>
      </c>
      <c r="B44" s="111" t="s">
        <v>1536</v>
      </c>
      <c r="C44" s="21" t="s">
        <v>1381</v>
      </c>
      <c r="D44" s="2">
        <v>150</v>
      </c>
      <c r="E44" s="238"/>
      <c r="F44" s="236">
        <f>Manut_Equipam_SEJUS[[#This Row],[VALOR UNID]]/2*(Manut_Equipam_Dados[[#This Row],[QUANT]])</f>
        <v>0</v>
      </c>
      <c r="G44" s="236">
        <f>Manut_Equipam_SEJUS[[#This Row],[VALOR MÊS]]*12</f>
        <v>0</v>
      </c>
    </row>
    <row r="45" spans="1:7" s="8" customFormat="1" x14ac:dyDescent="0.25">
      <c r="A45" s="110" t="s">
        <v>1531</v>
      </c>
      <c r="B45" s="111" t="s">
        <v>1537</v>
      </c>
      <c r="C45" s="21" t="s">
        <v>1381</v>
      </c>
      <c r="D45" s="2">
        <v>100</v>
      </c>
      <c r="E45" s="172"/>
      <c r="F45" s="109">
        <f>Manut_Equipam_SEJUS[[#This Row],[VALOR UNID]]/2*(Manut_Equipam_Dados[[#This Row],[QUANT]])</f>
        <v>0</v>
      </c>
      <c r="G45" s="109">
        <f>Manut_Equipam_SEJUS[[#This Row],[VALOR MÊS]]*12</f>
        <v>0</v>
      </c>
    </row>
    <row r="46" spans="1:7" s="8" customFormat="1" x14ac:dyDescent="0.25">
      <c r="A46" s="110" t="s">
        <v>1532</v>
      </c>
      <c r="B46" s="111" t="s">
        <v>1538</v>
      </c>
      <c r="C46" s="21" t="s">
        <v>1381</v>
      </c>
      <c r="D46" s="2">
        <v>5</v>
      </c>
      <c r="E46" s="238"/>
      <c r="F46" s="249">
        <f>Manut_Equipam_SEJUS[[#This Row],[VALOR UNID]]/6*(Manut_Equipam_Dados[[#This Row],[QUANT]])</f>
        <v>0</v>
      </c>
      <c r="G46" s="249">
        <f>Manut_Equipam_SEJUS[[#This Row],[VALOR MÊS]]*12</f>
        <v>0</v>
      </c>
    </row>
    <row r="47" spans="1:7" s="8" customFormat="1" x14ac:dyDescent="0.25">
      <c r="A47" s="110" t="s">
        <v>1533</v>
      </c>
      <c r="B47" s="111" t="s">
        <v>1539</v>
      </c>
      <c r="C47" s="21" t="s">
        <v>1381</v>
      </c>
      <c r="D47" s="2">
        <v>5</v>
      </c>
      <c r="E47" s="172"/>
      <c r="F47" s="109">
        <f>Manut_Equipam_SEJUS[[#This Row],[VALOR UNID]]*Manut_Equipam_Dados[[#This Row],[QUANT]]</f>
        <v>0</v>
      </c>
      <c r="G47" s="109">
        <f>Manut_Equipam_SEJUS[[#This Row],[VALOR MÊS]]*12</f>
        <v>0</v>
      </c>
    </row>
    <row r="48" spans="1:7" s="8" customFormat="1" x14ac:dyDescent="0.25">
      <c r="A48" s="110" t="s">
        <v>1534</v>
      </c>
      <c r="B48" s="111" t="s">
        <v>1540</v>
      </c>
      <c r="C48" s="21" t="s">
        <v>1381</v>
      </c>
      <c r="D48" s="2">
        <v>4</v>
      </c>
      <c r="E48" s="238"/>
      <c r="F48" s="236">
        <f>Manut_Equipam_SEJUS[[#This Row],[VALOR UNID]]/2*(Manut_Equipam_Dados[[#This Row],[QUANT]])</f>
        <v>0</v>
      </c>
      <c r="G48" s="236">
        <f>Manut_Equipam_SEJUS[[#This Row],[VALOR MÊS]]*12</f>
        <v>0</v>
      </c>
    </row>
    <row r="49" spans="1:7" s="8" customFormat="1" x14ac:dyDescent="0.25">
      <c r="A49" s="110" t="s">
        <v>1535</v>
      </c>
      <c r="B49" s="111" t="s">
        <v>1541</v>
      </c>
      <c r="C49" s="21" t="s">
        <v>1381</v>
      </c>
      <c r="D49" s="2">
        <v>4</v>
      </c>
      <c r="E49" s="175"/>
      <c r="F49" s="109">
        <f>Manut_Equipam_SEJUS[[#This Row],[VALOR UNID]]/2*(Manut_Equipam_Dados[[#This Row],[QUANT]])</f>
        <v>0</v>
      </c>
      <c r="G49" s="109">
        <f>Manut_Equipam_SEJUS[[#This Row],[VALOR MÊS]]*12</f>
        <v>0</v>
      </c>
    </row>
    <row r="50" spans="1:7" s="8" customFormat="1" x14ac:dyDescent="0.25">
      <c r="A50" s="140"/>
      <c r="B50" s="45"/>
      <c r="C50" s="45"/>
      <c r="D50" s="46">
        <f>SUBTOTAL(109,D4:D49)</f>
        <v>974</v>
      </c>
      <c r="E50" s="137"/>
      <c r="F50" s="139">
        <f>SUBTOTAL(109,F4:F49)</f>
        <v>0</v>
      </c>
      <c r="G50" s="139">
        <f>SUBTOTAL(109,G4:G49)</f>
        <v>0</v>
      </c>
    </row>
    <row r="51" spans="1:7" s="8" customFormat="1" x14ac:dyDescent="0.25">
      <c r="B51" s="43" t="s">
        <v>1382</v>
      </c>
      <c r="C51" s="10"/>
      <c r="D51" s="3"/>
      <c r="E51" s="131"/>
      <c r="F51" s="133"/>
      <c r="G51" s="133"/>
    </row>
    <row r="52" spans="1:7" s="8" customFormat="1" x14ac:dyDescent="0.25">
      <c r="B52" s="43" t="s">
        <v>1383</v>
      </c>
      <c r="C52" s="10"/>
      <c r="D52" s="3"/>
      <c r="E52" s="131"/>
      <c r="F52" s="133"/>
      <c r="G52" s="133"/>
    </row>
    <row r="53" spans="1:7" s="8" customFormat="1" x14ac:dyDescent="0.25">
      <c r="B53" s="121" t="s">
        <v>1595</v>
      </c>
      <c r="C53" s="44"/>
      <c r="D53" s="44"/>
      <c r="E53" s="131"/>
      <c r="F53" s="133"/>
      <c r="G53" s="133"/>
    </row>
    <row r="54" spans="1:7" s="8" customFormat="1" x14ac:dyDescent="0.25">
      <c r="A54" s="3"/>
      <c r="B54" s="44"/>
      <c r="C54" s="44"/>
      <c r="D54" s="44"/>
      <c r="E54" s="131"/>
      <c r="F54" s="133"/>
      <c r="G54" s="133"/>
    </row>
    <row r="55" spans="1:7" s="8" customFormat="1" x14ac:dyDescent="0.25">
      <c r="A55" s="3"/>
      <c r="B55" s="44"/>
      <c r="C55" s="44"/>
      <c r="D55" s="44"/>
      <c r="E55" s="131"/>
      <c r="F55" s="133"/>
      <c r="G55" s="133"/>
    </row>
    <row r="56" spans="1:7" s="8" customFormat="1" x14ac:dyDescent="0.25">
      <c r="A56" s="3"/>
      <c r="E56" s="131"/>
      <c r="F56" s="133"/>
      <c r="G56" s="133"/>
    </row>
    <row r="57" spans="1:7" s="8" customFormat="1" x14ac:dyDescent="0.25">
      <c r="A57" s="3"/>
      <c r="B57" s="44"/>
      <c r="C57" s="44"/>
      <c r="D57" s="44"/>
      <c r="E57" s="131"/>
      <c r="F57" s="133"/>
      <c r="G57" s="133"/>
    </row>
    <row r="58" spans="1:7" s="8" customFormat="1" x14ac:dyDescent="0.25">
      <c r="A58" s="3"/>
      <c r="B58" s="44"/>
      <c r="C58" s="44"/>
      <c r="D58" s="44"/>
      <c r="E58" s="131"/>
      <c r="F58" s="133"/>
      <c r="G58" s="133"/>
    </row>
    <row r="59" spans="1:7" s="8" customFormat="1" x14ac:dyDescent="0.25">
      <c r="A59" s="3"/>
      <c r="B59" s="44"/>
      <c r="C59" s="44"/>
      <c r="D59" s="44"/>
      <c r="E59" s="131"/>
      <c r="F59" s="133"/>
      <c r="G59" s="133"/>
    </row>
    <row r="60" spans="1:7" s="8" customFormat="1" x14ac:dyDescent="0.25">
      <c r="A60" s="3"/>
      <c r="B60" s="44"/>
      <c r="C60" s="44"/>
      <c r="D60" s="44"/>
      <c r="E60" s="131"/>
      <c r="F60" s="133"/>
      <c r="G60" s="133"/>
    </row>
    <row r="61" spans="1:7" s="8" customFormat="1" x14ac:dyDescent="0.25">
      <c r="A61" s="3"/>
      <c r="B61" s="44"/>
      <c r="C61" s="44"/>
      <c r="D61" s="44"/>
      <c r="E61" s="131"/>
      <c r="F61" s="133"/>
      <c r="G61" s="133"/>
    </row>
    <row r="62" spans="1:7" s="8" customFormat="1" x14ac:dyDescent="0.25">
      <c r="A62" s="3"/>
      <c r="B62" s="44"/>
      <c r="C62" s="44"/>
      <c r="D62" s="44"/>
      <c r="E62" s="131"/>
      <c r="F62" s="133"/>
      <c r="G62" s="133"/>
    </row>
    <row r="63" spans="1:7" s="8" customFormat="1" x14ac:dyDescent="0.25">
      <c r="A63" s="3"/>
      <c r="B63" s="10"/>
      <c r="C63" s="10"/>
      <c r="D63" s="3"/>
      <c r="E63" s="131"/>
      <c r="F63" s="133"/>
      <c r="G63" s="133"/>
    </row>
    <row r="64" spans="1:7" s="8" customFormat="1" x14ac:dyDescent="0.25">
      <c r="A64" s="3"/>
      <c r="B64" s="10"/>
      <c r="C64" s="10"/>
      <c r="D64" s="3"/>
      <c r="E64" s="131"/>
      <c r="F64" s="133"/>
      <c r="G64" s="133"/>
    </row>
    <row r="65" spans="1:7" s="8" customFormat="1" x14ac:dyDescent="0.25">
      <c r="A65" s="3"/>
      <c r="B65" s="10"/>
      <c r="C65" s="10"/>
      <c r="D65" s="3"/>
      <c r="E65" s="131"/>
      <c r="F65" s="133"/>
      <c r="G65" s="133"/>
    </row>
    <row r="66" spans="1:7" s="8" customFormat="1" x14ac:dyDescent="0.25">
      <c r="A66" s="3"/>
      <c r="B66" s="10"/>
      <c r="C66" s="10"/>
      <c r="D66" s="3"/>
      <c r="E66" s="131"/>
      <c r="F66" s="133"/>
      <c r="G66" s="133"/>
    </row>
    <row r="67" spans="1:7" s="8" customFormat="1" x14ac:dyDescent="0.25">
      <c r="A67" s="3"/>
      <c r="B67" s="10"/>
      <c r="C67" s="10"/>
      <c r="D67" s="3"/>
      <c r="E67" s="131"/>
      <c r="F67" s="133"/>
      <c r="G67" s="133"/>
    </row>
    <row r="68" spans="1:7" s="8" customFormat="1" x14ac:dyDescent="0.25">
      <c r="A68" s="3"/>
      <c r="B68" s="10"/>
      <c r="C68" s="10"/>
      <c r="D68" s="3"/>
      <c r="E68" s="131"/>
      <c r="F68" s="133"/>
      <c r="G68" s="133"/>
    </row>
    <row r="69" spans="1:7" s="8" customFormat="1" x14ac:dyDescent="0.25">
      <c r="A69" s="3"/>
      <c r="B69" s="10"/>
      <c r="C69" s="10"/>
      <c r="D69" s="3"/>
      <c r="E69" s="131"/>
      <c r="F69" s="133"/>
      <c r="G69" s="133"/>
    </row>
    <row r="70" spans="1:7" s="8" customFormat="1" x14ac:dyDescent="0.25">
      <c r="A70" s="3"/>
      <c r="B70" s="10"/>
      <c r="C70" s="10"/>
      <c r="D70" s="3"/>
      <c r="E70" s="131"/>
      <c r="F70" s="133"/>
      <c r="G70" s="133"/>
    </row>
    <row r="71" spans="1:7" s="8" customFormat="1" x14ac:dyDescent="0.25">
      <c r="A71" s="3"/>
      <c r="B71" s="10"/>
      <c r="C71" s="10"/>
      <c r="D71" s="3"/>
      <c r="E71" s="131"/>
      <c r="F71" s="133"/>
      <c r="G71" s="133"/>
    </row>
    <row r="72" spans="1:7" s="8" customFormat="1" x14ac:dyDescent="0.25">
      <c r="A72" s="3"/>
      <c r="B72" s="10"/>
      <c r="C72" s="10"/>
      <c r="D72" s="3"/>
      <c r="E72" s="131"/>
      <c r="F72" s="133"/>
      <c r="G72" s="133"/>
    </row>
    <row r="73" spans="1:7" s="8" customFormat="1" x14ac:dyDescent="0.25">
      <c r="A73" s="3"/>
      <c r="B73" s="10"/>
      <c r="C73" s="10"/>
      <c r="D73" s="3"/>
      <c r="E73" s="131"/>
      <c r="F73" s="133"/>
      <c r="G73" s="133"/>
    </row>
    <row r="74" spans="1:7" s="8" customFormat="1" x14ac:dyDescent="0.25">
      <c r="A74" s="3"/>
      <c r="B74" s="10"/>
      <c r="C74" s="10"/>
      <c r="D74" s="3"/>
      <c r="E74" s="131"/>
      <c r="F74" s="133"/>
      <c r="G74" s="133"/>
    </row>
    <row r="75" spans="1:7" s="8" customFormat="1" x14ac:dyDescent="0.25">
      <c r="A75" s="3"/>
      <c r="B75" s="10"/>
      <c r="C75" s="10"/>
      <c r="D75" s="3"/>
      <c r="E75" s="131"/>
      <c r="F75" s="133"/>
      <c r="G75" s="133"/>
    </row>
    <row r="76" spans="1:7" s="8" customFormat="1" x14ac:dyDescent="0.25">
      <c r="A76" s="3"/>
      <c r="B76" s="10"/>
      <c r="C76" s="10"/>
      <c r="D76" s="3"/>
      <c r="E76" s="131"/>
      <c r="F76" s="133"/>
      <c r="G76" s="133"/>
    </row>
    <row r="77" spans="1:7" s="8" customFormat="1" x14ac:dyDescent="0.25">
      <c r="A77" s="3"/>
      <c r="B77" s="10"/>
      <c r="C77" s="10"/>
      <c r="D77" s="3"/>
      <c r="E77" s="131"/>
      <c r="F77" s="133"/>
      <c r="G77" s="133"/>
    </row>
    <row r="78" spans="1:7" s="8" customFormat="1" x14ac:dyDescent="0.25">
      <c r="A78" s="3"/>
      <c r="B78" s="10"/>
      <c r="C78" s="10"/>
      <c r="D78" s="3"/>
      <c r="E78" s="131"/>
      <c r="F78" s="133"/>
      <c r="G78" s="133"/>
    </row>
    <row r="79" spans="1:7" s="8" customFormat="1" x14ac:dyDescent="0.25">
      <c r="A79" s="3"/>
      <c r="B79" s="10"/>
      <c r="C79" s="10"/>
      <c r="D79" s="3"/>
      <c r="E79" s="131"/>
      <c r="F79" s="133"/>
      <c r="G79" s="133"/>
    </row>
    <row r="80" spans="1:7" s="8" customFormat="1" x14ac:dyDescent="0.25">
      <c r="A80" s="3"/>
      <c r="B80" s="10"/>
      <c r="C80" s="10"/>
      <c r="D80" s="3"/>
      <c r="E80" s="131"/>
      <c r="F80" s="133"/>
      <c r="G80" s="133"/>
    </row>
    <row r="81" spans="1:7" s="8" customFormat="1" x14ac:dyDescent="0.25">
      <c r="A81" s="3"/>
      <c r="B81" s="10"/>
      <c r="C81" s="10"/>
      <c r="D81" s="3"/>
      <c r="E81" s="131"/>
      <c r="F81" s="133"/>
      <c r="G81" s="133"/>
    </row>
    <row r="82" spans="1:7" s="8" customFormat="1" x14ac:dyDescent="0.25">
      <c r="A82" s="3"/>
      <c r="B82" s="10"/>
      <c r="C82" s="10"/>
      <c r="D82" s="3"/>
      <c r="E82" s="131"/>
      <c r="F82" s="133"/>
      <c r="G82" s="133"/>
    </row>
    <row r="83" spans="1:7" s="8" customFormat="1" x14ac:dyDescent="0.25">
      <c r="A83" s="3"/>
      <c r="B83" s="10"/>
      <c r="C83" s="10"/>
      <c r="D83" s="3"/>
      <c r="E83" s="131"/>
      <c r="F83" s="133"/>
      <c r="G83" s="133"/>
    </row>
    <row r="84" spans="1:7" s="8" customFormat="1" x14ac:dyDescent="0.25">
      <c r="A84" s="3"/>
      <c r="B84" s="10"/>
      <c r="C84" s="10"/>
      <c r="D84" s="3"/>
      <c r="E84" s="131"/>
      <c r="F84" s="133"/>
      <c r="G84" s="133"/>
    </row>
    <row r="85" spans="1:7" s="8" customFormat="1" x14ac:dyDescent="0.25">
      <c r="A85" s="3"/>
      <c r="B85" s="10"/>
      <c r="C85" s="10"/>
      <c r="D85" s="3"/>
      <c r="E85" s="131"/>
      <c r="F85" s="133"/>
      <c r="G85" s="133"/>
    </row>
    <row r="86" spans="1:7" s="8" customFormat="1" x14ac:dyDescent="0.25">
      <c r="A86" s="3"/>
      <c r="B86" s="10"/>
      <c r="C86" s="10"/>
      <c r="D86" s="3"/>
      <c r="E86" s="131"/>
      <c r="F86" s="133"/>
      <c r="G86" s="133"/>
    </row>
    <row r="87" spans="1:7" s="8" customFormat="1" x14ac:dyDescent="0.25">
      <c r="A87" s="3"/>
      <c r="B87" s="10"/>
      <c r="C87" s="10"/>
      <c r="D87" s="3"/>
      <c r="E87" s="131"/>
      <c r="F87" s="133"/>
      <c r="G87" s="133"/>
    </row>
    <row r="88" spans="1:7" s="8" customFormat="1" x14ac:dyDescent="0.25">
      <c r="A88" s="3"/>
      <c r="B88" s="10"/>
      <c r="C88" s="10"/>
      <c r="D88" s="3"/>
      <c r="E88" s="131"/>
      <c r="F88" s="133"/>
      <c r="G88" s="133"/>
    </row>
    <row r="89" spans="1:7" s="8" customFormat="1" x14ac:dyDescent="0.25">
      <c r="A89" s="3"/>
      <c r="B89" s="10"/>
      <c r="C89" s="10"/>
      <c r="D89" s="3"/>
      <c r="E89" s="131"/>
      <c r="F89" s="133"/>
      <c r="G89" s="133"/>
    </row>
    <row r="90" spans="1:7" s="8" customFormat="1" x14ac:dyDescent="0.25">
      <c r="A90" s="3"/>
      <c r="B90" s="10"/>
      <c r="C90" s="10"/>
      <c r="D90" s="3"/>
      <c r="E90" s="131"/>
      <c r="F90" s="133"/>
      <c r="G90" s="133"/>
    </row>
    <row r="91" spans="1:7" s="8" customFormat="1" x14ac:dyDescent="0.25">
      <c r="A91" s="3"/>
      <c r="B91" s="10"/>
      <c r="C91" s="10"/>
      <c r="D91" s="3"/>
      <c r="E91" s="131"/>
      <c r="F91" s="133"/>
      <c r="G91" s="133"/>
    </row>
    <row r="92" spans="1:7" s="8" customFormat="1" x14ac:dyDescent="0.25">
      <c r="A92" s="3"/>
      <c r="B92" s="10"/>
      <c r="C92" s="10"/>
      <c r="D92" s="3"/>
      <c r="E92" s="131"/>
      <c r="F92" s="133"/>
      <c r="G92" s="133"/>
    </row>
    <row r="93" spans="1:7" s="8" customFormat="1" x14ac:dyDescent="0.25">
      <c r="A93" s="3"/>
      <c r="B93" s="10"/>
      <c r="C93" s="10"/>
      <c r="D93" s="3"/>
      <c r="E93" s="131"/>
      <c r="F93" s="133"/>
      <c r="G93" s="133"/>
    </row>
    <row r="94" spans="1:7" s="8" customFormat="1" x14ac:dyDescent="0.25">
      <c r="A94" s="3"/>
      <c r="B94" s="10"/>
      <c r="C94" s="10"/>
      <c r="D94" s="3"/>
      <c r="E94" s="131"/>
      <c r="F94" s="133"/>
      <c r="G94" s="133"/>
    </row>
    <row r="95" spans="1:7" s="8" customFormat="1" x14ac:dyDescent="0.25">
      <c r="A95" s="3"/>
      <c r="B95" s="10"/>
      <c r="C95" s="10"/>
      <c r="D95" s="3"/>
      <c r="E95" s="131"/>
      <c r="F95" s="133"/>
      <c r="G95" s="133"/>
    </row>
    <row r="96" spans="1:7" s="8" customFormat="1" x14ac:dyDescent="0.25">
      <c r="A96" s="3"/>
      <c r="B96" s="10"/>
      <c r="C96" s="10"/>
      <c r="D96" s="3"/>
      <c r="E96" s="131"/>
      <c r="F96" s="133"/>
      <c r="G96" s="133"/>
    </row>
    <row r="97" spans="1:7" s="8" customFormat="1" x14ac:dyDescent="0.25">
      <c r="A97" s="3"/>
      <c r="B97" s="10"/>
      <c r="C97" s="10"/>
      <c r="D97" s="3"/>
      <c r="E97" s="131"/>
      <c r="F97" s="133"/>
      <c r="G97" s="133"/>
    </row>
    <row r="98" spans="1:7" s="8" customFormat="1" x14ac:dyDescent="0.25">
      <c r="A98" s="3"/>
      <c r="B98" s="10"/>
      <c r="C98" s="10"/>
      <c r="D98" s="3"/>
      <c r="E98" s="131"/>
      <c r="F98" s="133"/>
      <c r="G98" s="133"/>
    </row>
    <row r="99" spans="1:7" s="8" customFormat="1" x14ac:dyDescent="0.25">
      <c r="A99" s="3"/>
      <c r="B99" s="10"/>
      <c r="C99" s="10"/>
      <c r="D99" s="3"/>
      <c r="E99" s="131"/>
      <c r="F99" s="133"/>
      <c r="G99" s="133"/>
    </row>
    <row r="100" spans="1:7" s="8" customFormat="1" x14ac:dyDescent="0.25">
      <c r="A100" s="3"/>
      <c r="B100" s="10"/>
      <c r="C100" s="10"/>
      <c r="D100" s="3"/>
      <c r="E100" s="131"/>
      <c r="F100" s="133"/>
      <c r="G100" s="133"/>
    </row>
    <row r="101" spans="1:7" s="8" customFormat="1" x14ac:dyDescent="0.25">
      <c r="A101" s="3"/>
      <c r="B101" s="10"/>
      <c r="C101" s="10"/>
      <c r="D101" s="3"/>
      <c r="E101" s="131"/>
      <c r="F101" s="133"/>
      <c r="G101" s="133"/>
    </row>
    <row r="102" spans="1:7" s="8" customFormat="1" x14ac:dyDescent="0.25">
      <c r="A102" s="3"/>
      <c r="B102" s="10"/>
      <c r="C102" s="10"/>
      <c r="D102" s="3"/>
      <c r="E102" s="131"/>
      <c r="F102" s="133"/>
      <c r="G102" s="133"/>
    </row>
    <row r="103" spans="1:7" s="8" customFormat="1" x14ac:dyDescent="0.25">
      <c r="A103" s="3"/>
      <c r="B103" s="10"/>
      <c r="C103" s="10"/>
      <c r="D103" s="3"/>
      <c r="E103" s="131"/>
      <c r="F103" s="133"/>
      <c r="G103" s="133"/>
    </row>
    <row r="104" spans="1:7" s="8" customFormat="1" x14ac:dyDescent="0.25">
      <c r="A104" s="3"/>
      <c r="B104" s="10"/>
      <c r="C104" s="10"/>
      <c r="D104" s="3"/>
      <c r="E104" s="131"/>
      <c r="F104" s="133"/>
      <c r="G104" s="133"/>
    </row>
    <row r="105" spans="1:7" s="8" customFormat="1" x14ac:dyDescent="0.25">
      <c r="A105" s="3"/>
      <c r="B105" s="10"/>
      <c r="C105" s="10"/>
      <c r="D105" s="3"/>
      <c r="E105" s="131"/>
      <c r="F105" s="133"/>
      <c r="G105" s="133"/>
    </row>
    <row r="106" spans="1:7" s="8" customFormat="1" x14ac:dyDescent="0.25">
      <c r="A106" s="3"/>
      <c r="B106" s="10"/>
      <c r="C106" s="10"/>
      <c r="D106" s="3"/>
      <c r="E106" s="131"/>
      <c r="F106" s="133"/>
      <c r="G106" s="133"/>
    </row>
    <row r="107" spans="1:7" s="8" customFormat="1" x14ac:dyDescent="0.25">
      <c r="A107" s="3"/>
      <c r="B107" s="10"/>
      <c r="C107" s="10"/>
      <c r="D107" s="3"/>
      <c r="E107" s="131"/>
      <c r="F107" s="133"/>
      <c r="G107" s="133"/>
    </row>
    <row r="108" spans="1:7" s="8" customFormat="1" x14ac:dyDescent="0.25">
      <c r="A108" s="3"/>
      <c r="B108" s="10"/>
      <c r="C108" s="10"/>
      <c r="D108" s="3"/>
      <c r="E108" s="131"/>
      <c r="F108" s="133"/>
      <c r="G108" s="133"/>
    </row>
    <row r="109" spans="1:7" s="8" customFormat="1" x14ac:dyDescent="0.25">
      <c r="A109" s="3"/>
      <c r="B109" s="10"/>
      <c r="C109" s="10"/>
      <c r="D109" s="3"/>
      <c r="E109" s="131"/>
      <c r="F109" s="133"/>
      <c r="G109" s="133"/>
    </row>
    <row r="110" spans="1:7" s="8" customFormat="1" x14ac:dyDescent="0.25">
      <c r="A110" s="3"/>
      <c r="B110" s="10"/>
      <c r="C110" s="10"/>
      <c r="D110" s="3"/>
      <c r="E110" s="131"/>
      <c r="F110" s="133"/>
      <c r="G110" s="133"/>
    </row>
    <row r="111" spans="1:7" s="8" customFormat="1" x14ac:dyDescent="0.25">
      <c r="A111" s="3"/>
      <c r="B111" s="10"/>
      <c r="C111" s="10"/>
      <c r="D111" s="3"/>
      <c r="E111" s="131"/>
      <c r="F111" s="133"/>
      <c r="G111" s="133"/>
    </row>
    <row r="112" spans="1:7" s="8" customFormat="1" x14ac:dyDescent="0.25">
      <c r="A112" s="3"/>
      <c r="B112" s="10"/>
      <c r="C112" s="10"/>
      <c r="D112" s="3"/>
      <c r="E112" s="131"/>
      <c r="F112" s="133"/>
      <c r="G112" s="133"/>
    </row>
    <row r="113" spans="1:7" s="8" customFormat="1" x14ac:dyDescent="0.25">
      <c r="A113" s="3"/>
      <c r="B113" s="10"/>
      <c r="C113" s="10"/>
      <c r="D113" s="3"/>
      <c r="E113" s="131"/>
      <c r="F113" s="133"/>
      <c r="G113" s="133"/>
    </row>
    <row r="114" spans="1:7" s="8" customFormat="1" x14ac:dyDescent="0.25">
      <c r="A114" s="3"/>
      <c r="B114" s="10"/>
      <c r="C114" s="10"/>
      <c r="D114" s="3"/>
      <c r="E114" s="131"/>
      <c r="F114" s="133"/>
      <c r="G114" s="133"/>
    </row>
    <row r="115" spans="1:7" s="8" customFormat="1" x14ac:dyDescent="0.25">
      <c r="A115" s="3"/>
      <c r="B115" s="10"/>
      <c r="C115" s="10"/>
      <c r="D115" s="3"/>
      <c r="E115" s="131"/>
      <c r="F115" s="133"/>
      <c r="G115" s="133"/>
    </row>
    <row r="116" spans="1:7" s="8" customFormat="1" x14ac:dyDescent="0.25">
      <c r="A116" s="3"/>
      <c r="B116" s="10"/>
      <c r="C116" s="10"/>
      <c r="D116" s="3"/>
      <c r="E116" s="131"/>
      <c r="F116" s="133"/>
      <c r="G116" s="133"/>
    </row>
    <row r="117" spans="1:7" s="8" customFormat="1" x14ac:dyDescent="0.25">
      <c r="A117" s="3"/>
      <c r="B117" s="10"/>
      <c r="C117" s="10"/>
      <c r="D117" s="3"/>
      <c r="E117" s="131"/>
      <c r="F117" s="133"/>
      <c r="G117" s="133"/>
    </row>
    <row r="118" spans="1:7" s="8" customFormat="1" x14ac:dyDescent="0.25">
      <c r="A118" s="3"/>
      <c r="B118" s="10"/>
      <c r="C118" s="10"/>
      <c r="D118" s="3"/>
      <c r="E118" s="131"/>
      <c r="F118" s="133"/>
      <c r="G118" s="133"/>
    </row>
    <row r="119" spans="1:7" s="8" customFormat="1" x14ac:dyDescent="0.25">
      <c r="A119" s="3"/>
      <c r="B119" s="10"/>
      <c r="C119" s="10"/>
      <c r="D119" s="3"/>
      <c r="E119" s="131"/>
      <c r="F119" s="133"/>
      <c r="G119" s="133"/>
    </row>
    <row r="120" spans="1:7" s="8" customFormat="1" x14ac:dyDescent="0.25">
      <c r="A120" s="3"/>
      <c r="B120" s="10"/>
      <c r="C120" s="10"/>
      <c r="D120" s="3"/>
      <c r="E120" s="131"/>
      <c r="F120" s="133"/>
      <c r="G120" s="133"/>
    </row>
    <row r="121" spans="1:7" s="8" customFormat="1" x14ac:dyDescent="0.25">
      <c r="A121" s="3"/>
      <c r="B121" s="10"/>
      <c r="C121" s="10"/>
      <c r="D121" s="3"/>
      <c r="E121" s="131"/>
      <c r="F121" s="133"/>
      <c r="G121" s="133"/>
    </row>
    <row r="122" spans="1:7" s="8" customFormat="1" x14ac:dyDescent="0.25">
      <c r="A122" s="3"/>
      <c r="B122" s="10"/>
      <c r="C122" s="10"/>
      <c r="D122" s="3"/>
      <c r="E122" s="131"/>
      <c r="F122" s="133"/>
      <c r="G122" s="133"/>
    </row>
    <row r="123" spans="1:7" s="8" customFormat="1" x14ac:dyDescent="0.25">
      <c r="A123" s="3"/>
      <c r="B123" s="10"/>
      <c r="C123" s="10"/>
      <c r="D123" s="3"/>
      <c r="E123" s="131"/>
      <c r="F123" s="133"/>
      <c r="G123" s="133"/>
    </row>
    <row r="124" spans="1:7" s="8" customFormat="1" x14ac:dyDescent="0.25">
      <c r="A124" s="3"/>
      <c r="B124" s="10"/>
      <c r="C124" s="10"/>
      <c r="D124" s="3"/>
      <c r="E124" s="131"/>
      <c r="F124" s="133"/>
      <c r="G124" s="133"/>
    </row>
    <row r="125" spans="1:7" s="8" customFormat="1" x14ac:dyDescent="0.25">
      <c r="A125" s="3"/>
      <c r="B125" s="10"/>
      <c r="C125" s="10"/>
      <c r="D125" s="3"/>
      <c r="E125" s="131"/>
      <c r="F125" s="133"/>
      <c r="G125" s="133"/>
    </row>
    <row r="126" spans="1:7" s="8" customFormat="1" x14ac:dyDescent="0.25">
      <c r="A126" s="3"/>
      <c r="B126" s="10"/>
      <c r="C126" s="10"/>
      <c r="D126" s="3"/>
      <c r="E126" s="131"/>
      <c r="F126" s="133"/>
      <c r="G126" s="133"/>
    </row>
    <row r="127" spans="1:7" s="8" customFormat="1" x14ac:dyDescent="0.25">
      <c r="A127" s="3"/>
      <c r="B127" s="10"/>
      <c r="C127" s="10"/>
      <c r="D127" s="3"/>
      <c r="E127" s="131"/>
      <c r="F127" s="133"/>
      <c r="G127" s="133"/>
    </row>
    <row r="128" spans="1:7" s="8" customFormat="1" x14ac:dyDescent="0.25">
      <c r="A128" s="3"/>
      <c r="B128" s="10"/>
      <c r="C128" s="10"/>
      <c r="D128" s="3"/>
      <c r="E128" s="131"/>
      <c r="F128" s="133"/>
      <c r="G128" s="133"/>
    </row>
    <row r="129" spans="1:7" s="8" customFormat="1" x14ac:dyDescent="0.25">
      <c r="A129" s="3"/>
      <c r="B129" s="10"/>
      <c r="C129" s="10"/>
      <c r="D129" s="3"/>
      <c r="E129" s="131"/>
      <c r="F129" s="133"/>
      <c r="G129" s="133"/>
    </row>
    <row r="130" spans="1:7" s="8" customFormat="1" x14ac:dyDescent="0.25">
      <c r="A130" s="3"/>
      <c r="B130" s="10"/>
      <c r="C130" s="10"/>
      <c r="D130" s="3"/>
      <c r="E130" s="131"/>
      <c r="F130" s="133"/>
      <c r="G130" s="133"/>
    </row>
    <row r="131" spans="1:7" s="8" customFormat="1" x14ac:dyDescent="0.25">
      <c r="A131" s="3"/>
      <c r="B131" s="10"/>
      <c r="C131" s="10"/>
      <c r="D131" s="3"/>
      <c r="E131" s="131"/>
      <c r="F131" s="133"/>
      <c r="G131" s="133"/>
    </row>
    <row r="132" spans="1:7" s="8" customFormat="1" x14ac:dyDescent="0.25">
      <c r="A132" s="3"/>
      <c r="B132" s="10"/>
      <c r="C132" s="10"/>
      <c r="D132" s="3"/>
      <c r="E132" s="131"/>
      <c r="F132" s="133"/>
      <c r="G132" s="133"/>
    </row>
    <row r="133" spans="1:7" s="8" customFormat="1" x14ac:dyDescent="0.25">
      <c r="A133" s="3"/>
      <c r="B133" s="10"/>
      <c r="C133" s="10"/>
      <c r="D133" s="3"/>
      <c r="E133" s="131"/>
      <c r="F133" s="133"/>
      <c r="G133" s="133"/>
    </row>
    <row r="134" spans="1:7" s="8" customFormat="1" x14ac:dyDescent="0.25">
      <c r="A134" s="3"/>
      <c r="B134" s="10"/>
      <c r="C134" s="10"/>
      <c r="D134" s="3"/>
      <c r="E134" s="131"/>
      <c r="F134" s="133"/>
      <c r="G134" s="133"/>
    </row>
    <row r="135" spans="1:7" s="8" customFormat="1" x14ac:dyDescent="0.25">
      <c r="A135" s="3"/>
      <c r="B135" s="10"/>
      <c r="C135" s="10"/>
      <c r="D135" s="3"/>
      <c r="E135" s="131"/>
      <c r="F135" s="133"/>
      <c r="G135" s="133"/>
    </row>
    <row r="136" spans="1:7" s="8" customFormat="1" x14ac:dyDescent="0.25">
      <c r="A136" s="3"/>
      <c r="B136" s="10"/>
      <c r="C136" s="10"/>
      <c r="D136" s="3"/>
      <c r="E136" s="131"/>
      <c r="F136" s="133"/>
      <c r="G136" s="133"/>
    </row>
    <row r="137" spans="1:7" s="8" customFormat="1" x14ac:dyDescent="0.25">
      <c r="A137" s="3"/>
      <c r="B137" s="10"/>
      <c r="C137" s="10"/>
      <c r="D137" s="3"/>
      <c r="E137" s="131"/>
      <c r="F137" s="133"/>
      <c r="G137" s="133"/>
    </row>
    <row r="138" spans="1:7" s="8" customFormat="1" x14ac:dyDescent="0.25">
      <c r="A138" s="3"/>
      <c r="B138" s="10"/>
      <c r="C138" s="10"/>
      <c r="D138" s="3"/>
      <c r="E138" s="131"/>
      <c r="F138" s="133"/>
      <c r="G138" s="133"/>
    </row>
    <row r="139" spans="1:7" s="8" customFormat="1" x14ac:dyDescent="0.25">
      <c r="A139" s="3"/>
      <c r="B139" s="10"/>
      <c r="C139" s="10"/>
      <c r="D139" s="3"/>
      <c r="E139" s="131"/>
      <c r="F139" s="133"/>
      <c r="G139" s="133"/>
    </row>
    <row r="140" spans="1:7" s="8" customFormat="1" x14ac:dyDescent="0.25">
      <c r="A140" s="3"/>
      <c r="B140" s="10"/>
      <c r="C140" s="10"/>
      <c r="D140" s="3"/>
      <c r="E140" s="131"/>
      <c r="F140" s="133"/>
      <c r="G140" s="133"/>
    </row>
    <row r="141" spans="1:7" s="8" customFormat="1" x14ac:dyDescent="0.25">
      <c r="A141" s="3"/>
      <c r="B141" s="10"/>
      <c r="C141" s="10"/>
      <c r="D141" s="3"/>
      <c r="E141" s="131"/>
      <c r="F141" s="133"/>
      <c r="G141" s="133"/>
    </row>
    <row r="142" spans="1:7" s="8" customFormat="1" x14ac:dyDescent="0.25">
      <c r="A142" s="3"/>
      <c r="B142" s="10"/>
      <c r="C142" s="10"/>
      <c r="D142" s="3"/>
      <c r="E142" s="131"/>
      <c r="F142" s="133"/>
      <c r="G142" s="133"/>
    </row>
    <row r="143" spans="1:7" s="8" customFormat="1" x14ac:dyDescent="0.25">
      <c r="A143" s="3"/>
      <c r="B143" s="10"/>
      <c r="C143" s="10"/>
      <c r="D143" s="3"/>
      <c r="E143" s="131"/>
      <c r="F143" s="133"/>
      <c r="G143" s="133"/>
    </row>
    <row r="144" spans="1:7" s="8" customFormat="1" x14ac:dyDescent="0.25">
      <c r="A144" s="3"/>
      <c r="B144" s="10"/>
      <c r="C144" s="10"/>
      <c r="D144" s="3"/>
      <c r="E144" s="131"/>
      <c r="F144" s="133"/>
      <c r="G144" s="133"/>
    </row>
    <row r="145" spans="1:7" s="8" customFormat="1" x14ac:dyDescent="0.25">
      <c r="A145" s="3"/>
      <c r="B145" s="10"/>
      <c r="C145" s="10"/>
      <c r="D145" s="3"/>
      <c r="E145" s="131"/>
      <c r="F145" s="133"/>
      <c r="G145" s="133"/>
    </row>
    <row r="146" spans="1:7" s="8" customFormat="1" x14ac:dyDescent="0.25">
      <c r="A146" s="3"/>
      <c r="B146" s="10"/>
      <c r="C146" s="10"/>
      <c r="D146" s="3"/>
      <c r="E146" s="131"/>
      <c r="F146" s="133"/>
      <c r="G146" s="133"/>
    </row>
    <row r="147" spans="1:7" s="8" customFormat="1" x14ac:dyDescent="0.25">
      <c r="A147" s="3"/>
      <c r="B147" s="10"/>
      <c r="C147" s="10"/>
      <c r="D147" s="3"/>
      <c r="E147" s="131"/>
      <c r="F147" s="133"/>
      <c r="G147" s="133"/>
    </row>
    <row r="148" spans="1:7" s="8" customFormat="1" x14ac:dyDescent="0.25">
      <c r="A148" s="3"/>
      <c r="B148" s="10"/>
      <c r="C148" s="10"/>
      <c r="D148" s="3"/>
      <c r="E148" s="131"/>
      <c r="F148" s="133"/>
      <c r="G148" s="133"/>
    </row>
    <row r="149" spans="1:7" s="8" customFormat="1" x14ac:dyDescent="0.25">
      <c r="A149" s="3"/>
      <c r="B149" s="10"/>
      <c r="C149" s="10"/>
      <c r="D149" s="3"/>
      <c r="E149" s="131"/>
      <c r="F149" s="133"/>
      <c r="G149" s="133"/>
    </row>
    <row r="150" spans="1:7" s="8" customFormat="1" x14ac:dyDescent="0.25">
      <c r="A150" s="3"/>
      <c r="B150" s="10"/>
      <c r="C150" s="10"/>
      <c r="D150" s="3"/>
      <c r="E150" s="131"/>
      <c r="F150" s="133"/>
      <c r="G150" s="133"/>
    </row>
    <row r="151" spans="1:7" s="8" customFormat="1" x14ac:dyDescent="0.25">
      <c r="A151" s="3"/>
      <c r="B151" s="10"/>
      <c r="C151" s="10"/>
      <c r="D151" s="3"/>
      <c r="E151" s="131"/>
      <c r="F151" s="133"/>
      <c r="G151" s="133"/>
    </row>
    <row r="152" spans="1:7" s="8" customFormat="1" x14ac:dyDescent="0.25">
      <c r="A152" s="3"/>
      <c r="B152" s="10"/>
      <c r="C152" s="10"/>
      <c r="D152" s="3"/>
      <c r="E152" s="131"/>
      <c r="F152" s="133"/>
      <c r="G152" s="133"/>
    </row>
    <row r="153" spans="1:7" s="8" customFormat="1" x14ac:dyDescent="0.25">
      <c r="A153" s="3"/>
      <c r="B153" s="10"/>
      <c r="C153" s="10"/>
      <c r="D153" s="3"/>
      <c r="E153" s="131"/>
      <c r="F153" s="133"/>
      <c r="G153" s="133"/>
    </row>
    <row r="154" spans="1:7" s="8" customFormat="1" x14ac:dyDescent="0.25">
      <c r="A154" s="3"/>
      <c r="B154" s="10"/>
      <c r="C154" s="10"/>
      <c r="D154" s="3"/>
      <c r="E154" s="131"/>
      <c r="F154" s="133"/>
      <c r="G154" s="133"/>
    </row>
    <row r="155" spans="1:7" s="8" customFormat="1" x14ac:dyDescent="0.25">
      <c r="A155" s="3"/>
      <c r="B155" s="10"/>
      <c r="C155" s="10"/>
      <c r="D155" s="3"/>
      <c r="E155" s="131"/>
      <c r="F155" s="133"/>
      <c r="G155" s="133"/>
    </row>
    <row r="156" spans="1:7" s="8" customFormat="1" x14ac:dyDescent="0.25">
      <c r="A156" s="3"/>
      <c r="B156" s="10"/>
      <c r="C156" s="10"/>
      <c r="D156" s="3"/>
      <c r="E156" s="131"/>
      <c r="F156" s="133"/>
      <c r="G156" s="133"/>
    </row>
    <row r="157" spans="1:7" s="8" customFormat="1" x14ac:dyDescent="0.25">
      <c r="A157" s="3"/>
      <c r="B157" s="10"/>
      <c r="C157" s="10"/>
      <c r="D157" s="3"/>
      <c r="E157" s="131"/>
      <c r="F157" s="133"/>
      <c r="G157" s="133"/>
    </row>
    <row r="158" spans="1:7" s="8" customFormat="1" x14ac:dyDescent="0.25">
      <c r="A158" s="3"/>
      <c r="B158" s="10"/>
      <c r="C158" s="10"/>
      <c r="D158" s="3"/>
      <c r="E158" s="131"/>
      <c r="F158" s="133"/>
      <c r="G158" s="133"/>
    </row>
    <row r="159" spans="1:7" s="8" customFormat="1" x14ac:dyDescent="0.25">
      <c r="A159" s="3"/>
      <c r="B159" s="10"/>
      <c r="C159" s="10"/>
      <c r="D159" s="3"/>
      <c r="E159" s="131"/>
      <c r="F159" s="133"/>
      <c r="G159" s="133"/>
    </row>
    <row r="160" spans="1:7" s="8" customFormat="1" x14ac:dyDescent="0.25">
      <c r="A160" s="3"/>
      <c r="B160" s="10"/>
      <c r="C160" s="10"/>
      <c r="D160" s="3"/>
      <c r="E160" s="131"/>
      <c r="F160" s="133"/>
      <c r="G160" s="133"/>
    </row>
    <row r="161" spans="1:7" s="8" customFormat="1" x14ac:dyDescent="0.25">
      <c r="A161" s="3"/>
      <c r="B161" s="10"/>
      <c r="C161" s="10"/>
      <c r="D161" s="3"/>
      <c r="E161" s="131"/>
      <c r="F161" s="133"/>
      <c r="G161" s="133"/>
    </row>
    <row r="162" spans="1:7" s="8" customFormat="1" x14ac:dyDescent="0.25">
      <c r="A162" s="3"/>
      <c r="B162" s="10"/>
      <c r="C162" s="10"/>
      <c r="D162" s="3"/>
      <c r="E162" s="131"/>
      <c r="F162" s="133"/>
      <c r="G162" s="133"/>
    </row>
    <row r="163" spans="1:7" s="8" customFormat="1" x14ac:dyDescent="0.25">
      <c r="A163" s="3"/>
      <c r="B163" s="10"/>
      <c r="C163" s="10"/>
      <c r="D163" s="3"/>
      <c r="E163" s="131"/>
      <c r="F163" s="133"/>
      <c r="G163" s="133"/>
    </row>
    <row r="164" spans="1:7" s="8" customFormat="1" x14ac:dyDescent="0.25">
      <c r="A164" s="3"/>
      <c r="B164" s="10"/>
      <c r="C164" s="10"/>
      <c r="D164" s="3"/>
      <c r="E164" s="131"/>
      <c r="F164" s="133"/>
      <c r="G164" s="133"/>
    </row>
    <row r="165" spans="1:7" s="8" customFormat="1" x14ac:dyDescent="0.25">
      <c r="A165" s="3"/>
      <c r="B165" s="10"/>
      <c r="C165" s="10"/>
      <c r="D165" s="3"/>
      <c r="E165" s="131"/>
      <c r="F165" s="133"/>
      <c r="G165" s="133"/>
    </row>
    <row r="166" spans="1:7" s="8" customFormat="1" x14ac:dyDescent="0.25">
      <c r="A166" s="3"/>
      <c r="B166" s="10"/>
      <c r="C166" s="10"/>
      <c r="D166" s="3"/>
      <c r="E166" s="131"/>
      <c r="F166" s="133"/>
      <c r="G166" s="133"/>
    </row>
    <row r="167" spans="1:7" s="8" customFormat="1" x14ac:dyDescent="0.25">
      <c r="A167" s="3"/>
      <c r="B167" s="10"/>
      <c r="C167" s="10"/>
      <c r="D167" s="3"/>
      <c r="E167" s="131"/>
      <c r="F167" s="133"/>
      <c r="G167" s="133"/>
    </row>
    <row r="168" spans="1:7" s="8" customFormat="1" x14ac:dyDescent="0.25">
      <c r="A168" s="3"/>
      <c r="B168" s="10"/>
      <c r="C168" s="10"/>
      <c r="D168" s="3"/>
      <c r="E168" s="131"/>
      <c r="F168" s="133"/>
      <c r="G168" s="133"/>
    </row>
    <row r="169" spans="1:7" s="8" customFormat="1" x14ac:dyDescent="0.25">
      <c r="A169" s="3"/>
      <c r="B169" s="10"/>
      <c r="C169" s="10"/>
      <c r="D169" s="3"/>
      <c r="E169" s="131"/>
      <c r="F169" s="133"/>
      <c r="G169" s="133"/>
    </row>
    <row r="170" spans="1:7" s="8" customFormat="1" x14ac:dyDescent="0.25">
      <c r="A170" s="3"/>
      <c r="B170" s="10"/>
      <c r="C170" s="10"/>
      <c r="D170" s="3"/>
      <c r="E170" s="131"/>
      <c r="F170" s="133"/>
      <c r="G170" s="133"/>
    </row>
    <row r="171" spans="1:7" s="8" customFormat="1" x14ac:dyDescent="0.25">
      <c r="A171" s="3"/>
      <c r="B171" s="10"/>
      <c r="C171" s="10"/>
      <c r="D171" s="3"/>
      <c r="E171" s="131"/>
      <c r="F171" s="133"/>
      <c r="G171" s="133"/>
    </row>
    <row r="172" spans="1:7" s="8" customFormat="1" x14ac:dyDescent="0.25">
      <c r="A172" s="3"/>
      <c r="B172" s="10"/>
      <c r="C172" s="10"/>
      <c r="D172" s="3"/>
      <c r="E172" s="131"/>
      <c r="F172" s="133"/>
      <c r="G172" s="133"/>
    </row>
    <row r="173" spans="1:7" s="8" customFormat="1" x14ac:dyDescent="0.25">
      <c r="A173" s="3"/>
      <c r="B173" s="10"/>
      <c r="C173" s="10"/>
      <c r="D173" s="3"/>
      <c r="E173" s="131"/>
      <c r="F173" s="133"/>
      <c r="G173" s="133"/>
    </row>
    <row r="174" spans="1:7" s="8" customFormat="1" x14ac:dyDescent="0.25">
      <c r="A174" s="3"/>
      <c r="B174" s="10"/>
      <c r="C174" s="10"/>
      <c r="D174" s="3"/>
      <c r="E174" s="131"/>
      <c r="F174" s="133"/>
      <c r="G174" s="133"/>
    </row>
    <row r="175" spans="1:7" s="8" customFormat="1" x14ac:dyDescent="0.25">
      <c r="A175" s="3"/>
      <c r="B175" s="10"/>
      <c r="C175" s="10"/>
      <c r="D175" s="3"/>
      <c r="E175" s="131"/>
      <c r="F175" s="133"/>
      <c r="G175" s="133"/>
    </row>
    <row r="176" spans="1:7" s="8" customFormat="1" x14ac:dyDescent="0.25">
      <c r="A176" s="3"/>
      <c r="B176" s="10"/>
      <c r="C176" s="10"/>
      <c r="D176" s="3"/>
      <c r="E176" s="131"/>
      <c r="F176" s="133"/>
      <c r="G176" s="133"/>
    </row>
    <row r="177" spans="1:7" s="8" customFormat="1" x14ac:dyDescent="0.25">
      <c r="A177" s="3"/>
      <c r="B177" s="10"/>
      <c r="C177" s="10"/>
      <c r="D177" s="3"/>
      <c r="E177" s="131"/>
      <c r="F177" s="133"/>
      <c r="G177" s="133"/>
    </row>
    <row r="178" spans="1:7" s="8" customFormat="1" x14ac:dyDescent="0.25">
      <c r="A178" s="3"/>
      <c r="B178" s="10"/>
      <c r="C178" s="10"/>
      <c r="D178" s="3"/>
      <c r="E178" s="131"/>
      <c r="F178" s="133"/>
      <c r="G178" s="133"/>
    </row>
    <row r="179" spans="1:7" s="8" customFormat="1" x14ac:dyDescent="0.25">
      <c r="A179" s="3"/>
      <c r="B179" s="10"/>
      <c r="C179" s="10"/>
      <c r="D179" s="3"/>
      <c r="E179" s="131"/>
      <c r="F179" s="133"/>
      <c r="G179" s="133"/>
    </row>
    <row r="180" spans="1:7" s="8" customFormat="1" x14ac:dyDescent="0.25">
      <c r="A180" s="3"/>
      <c r="B180" s="10"/>
      <c r="C180" s="10"/>
      <c r="D180" s="3"/>
      <c r="E180" s="131"/>
      <c r="F180" s="133"/>
      <c r="G180" s="133"/>
    </row>
    <row r="181" spans="1:7" s="8" customFormat="1" x14ac:dyDescent="0.25">
      <c r="A181" s="3"/>
      <c r="B181" s="10"/>
      <c r="C181" s="10"/>
      <c r="D181" s="3"/>
      <c r="E181" s="131"/>
      <c r="F181" s="133"/>
      <c r="G181" s="133"/>
    </row>
    <row r="182" spans="1:7" s="8" customFormat="1" x14ac:dyDescent="0.25">
      <c r="A182" s="3"/>
      <c r="B182" s="10"/>
      <c r="C182" s="10"/>
      <c r="D182" s="3"/>
      <c r="E182" s="131"/>
      <c r="F182" s="133"/>
      <c r="G182" s="133"/>
    </row>
    <row r="183" spans="1:7" s="8" customFormat="1" x14ac:dyDescent="0.25">
      <c r="A183" s="3"/>
      <c r="B183" s="10"/>
      <c r="C183" s="10"/>
      <c r="D183" s="3"/>
      <c r="E183" s="131"/>
      <c r="F183" s="133"/>
      <c r="G183" s="133"/>
    </row>
    <row r="184" spans="1:7" s="8" customFormat="1" x14ac:dyDescent="0.25">
      <c r="A184" s="3"/>
      <c r="B184" s="10"/>
      <c r="C184" s="10"/>
      <c r="D184" s="3"/>
      <c r="E184" s="131"/>
      <c r="F184" s="133"/>
      <c r="G184" s="133"/>
    </row>
    <row r="185" spans="1:7" s="8" customFormat="1" x14ac:dyDescent="0.25">
      <c r="A185" s="3"/>
      <c r="B185" s="10"/>
      <c r="C185" s="10"/>
      <c r="D185" s="3"/>
      <c r="E185" s="131"/>
      <c r="F185" s="133"/>
      <c r="G185" s="133"/>
    </row>
    <row r="186" spans="1:7" s="8" customFormat="1" x14ac:dyDescent="0.25">
      <c r="A186" s="3"/>
      <c r="B186" s="10"/>
      <c r="C186" s="10"/>
      <c r="D186" s="3"/>
      <c r="E186" s="131"/>
      <c r="F186" s="133"/>
      <c r="G186" s="133"/>
    </row>
    <row r="187" spans="1:7" s="8" customFormat="1" x14ac:dyDescent="0.25">
      <c r="A187" s="3"/>
      <c r="B187" s="10"/>
      <c r="C187" s="10"/>
      <c r="D187" s="3"/>
      <c r="E187" s="131"/>
      <c r="F187" s="133"/>
      <c r="G187" s="133"/>
    </row>
    <row r="188" spans="1:7" s="8" customFormat="1" x14ac:dyDescent="0.25">
      <c r="A188" s="3"/>
      <c r="B188" s="10"/>
      <c r="C188" s="10"/>
      <c r="D188" s="3"/>
      <c r="E188" s="131"/>
      <c r="F188" s="133"/>
      <c r="G188" s="133"/>
    </row>
    <row r="189" spans="1:7" s="8" customFormat="1" x14ac:dyDescent="0.25">
      <c r="A189" s="3"/>
      <c r="B189" s="10"/>
      <c r="C189" s="10"/>
      <c r="D189" s="3"/>
      <c r="E189" s="131"/>
      <c r="F189" s="133"/>
      <c r="G189" s="133"/>
    </row>
    <row r="190" spans="1:7" s="8" customFormat="1" x14ac:dyDescent="0.25">
      <c r="A190" s="3"/>
      <c r="B190" s="10"/>
      <c r="C190" s="10"/>
      <c r="D190" s="3"/>
      <c r="E190" s="131"/>
      <c r="F190" s="133"/>
      <c r="G190" s="133"/>
    </row>
    <row r="191" spans="1:7" s="8" customFormat="1" x14ac:dyDescent="0.25">
      <c r="A191" s="3"/>
      <c r="B191" s="10"/>
      <c r="C191" s="10"/>
      <c r="D191" s="3"/>
      <c r="E191" s="131"/>
      <c r="F191" s="133"/>
      <c r="G191" s="133"/>
    </row>
    <row r="192" spans="1:7" s="8" customFormat="1" x14ac:dyDescent="0.25">
      <c r="A192" s="3"/>
      <c r="B192" s="10"/>
      <c r="C192" s="10"/>
      <c r="D192" s="3"/>
      <c r="E192" s="131"/>
      <c r="F192" s="133"/>
      <c r="G192" s="133"/>
    </row>
    <row r="193" spans="1:7" s="8" customFormat="1" x14ac:dyDescent="0.25">
      <c r="A193" s="3"/>
      <c r="B193" s="10"/>
      <c r="C193" s="10"/>
      <c r="D193" s="3"/>
      <c r="E193" s="131"/>
      <c r="F193" s="133"/>
      <c r="G193" s="133"/>
    </row>
    <row r="194" spans="1:7" s="8" customFormat="1" x14ac:dyDescent="0.25">
      <c r="A194" s="3"/>
      <c r="B194" s="10"/>
      <c r="C194" s="10"/>
      <c r="D194" s="3"/>
      <c r="E194" s="131"/>
      <c r="F194" s="133"/>
      <c r="G194" s="133"/>
    </row>
    <row r="195" spans="1:7" s="8" customFormat="1" x14ac:dyDescent="0.25">
      <c r="A195" s="3"/>
      <c r="B195" s="10"/>
      <c r="C195" s="10"/>
      <c r="D195" s="3"/>
      <c r="E195" s="131"/>
      <c r="F195" s="133"/>
      <c r="G195" s="133"/>
    </row>
    <row r="196" spans="1:7" s="8" customFormat="1" x14ac:dyDescent="0.25">
      <c r="A196" s="3"/>
      <c r="B196" s="10"/>
      <c r="C196" s="10"/>
      <c r="D196" s="3"/>
      <c r="E196" s="131"/>
      <c r="F196" s="133"/>
      <c r="G196" s="133"/>
    </row>
    <row r="197" spans="1:7" s="8" customFormat="1" x14ac:dyDescent="0.25">
      <c r="A197" s="3"/>
      <c r="B197" s="10"/>
      <c r="C197" s="10"/>
      <c r="D197" s="3"/>
      <c r="E197" s="131"/>
      <c r="F197" s="133"/>
      <c r="G197" s="133"/>
    </row>
    <row r="198" spans="1:7" s="8" customFormat="1" x14ac:dyDescent="0.25">
      <c r="A198" s="3"/>
      <c r="B198" s="10"/>
      <c r="C198" s="10"/>
      <c r="D198" s="3"/>
      <c r="E198" s="131"/>
      <c r="F198" s="133"/>
      <c r="G198" s="133"/>
    </row>
    <row r="199" spans="1:7" s="8" customFormat="1" x14ac:dyDescent="0.25">
      <c r="A199" s="3"/>
      <c r="B199" s="10"/>
      <c r="C199" s="10"/>
      <c r="D199" s="3"/>
      <c r="E199" s="131"/>
      <c r="F199" s="133"/>
      <c r="G199" s="133"/>
    </row>
    <row r="200" spans="1:7" s="8" customFormat="1" x14ac:dyDescent="0.25">
      <c r="A200" s="3"/>
      <c r="B200" s="10"/>
      <c r="C200" s="10"/>
      <c r="D200" s="3"/>
      <c r="E200" s="131"/>
      <c r="F200" s="133"/>
      <c r="G200" s="133"/>
    </row>
    <row r="201" spans="1:7" s="8" customFormat="1" x14ac:dyDescent="0.25">
      <c r="A201" s="3"/>
      <c r="B201" s="10"/>
      <c r="C201" s="10"/>
      <c r="D201" s="3"/>
      <c r="E201" s="131"/>
      <c r="F201" s="133"/>
      <c r="G201" s="133"/>
    </row>
    <row r="202" spans="1:7" s="8" customFormat="1" x14ac:dyDescent="0.25">
      <c r="A202" s="3"/>
      <c r="B202" s="10"/>
      <c r="C202" s="10"/>
      <c r="D202" s="3"/>
      <c r="E202" s="131"/>
      <c r="F202" s="133"/>
      <c r="G202" s="133"/>
    </row>
    <row r="203" spans="1:7" s="8" customFormat="1" x14ac:dyDescent="0.25">
      <c r="A203" s="3"/>
      <c r="B203" s="10"/>
      <c r="C203" s="10"/>
      <c r="D203" s="3"/>
      <c r="E203" s="131"/>
      <c r="F203" s="133"/>
      <c r="G203" s="133"/>
    </row>
    <row r="204" spans="1:7" s="8" customFormat="1" x14ac:dyDescent="0.25">
      <c r="A204" s="3"/>
      <c r="B204" s="10"/>
      <c r="C204" s="10"/>
      <c r="D204" s="3"/>
      <c r="E204" s="131"/>
      <c r="F204" s="133"/>
      <c r="G204" s="133"/>
    </row>
    <row r="205" spans="1:7" s="8" customFormat="1" x14ac:dyDescent="0.25">
      <c r="A205" s="3"/>
      <c r="B205" s="10"/>
      <c r="C205" s="10"/>
      <c r="D205" s="3"/>
      <c r="E205" s="131"/>
      <c r="F205" s="133"/>
      <c r="G205" s="133"/>
    </row>
    <row r="206" spans="1:7" s="8" customFormat="1" x14ac:dyDescent="0.25">
      <c r="A206" s="3"/>
      <c r="B206" s="10"/>
      <c r="C206" s="10"/>
      <c r="D206" s="3"/>
      <c r="E206" s="131"/>
      <c r="F206" s="133"/>
      <c r="G206" s="133"/>
    </row>
    <row r="207" spans="1:7" s="8" customFormat="1" x14ac:dyDescent="0.25">
      <c r="A207" s="3"/>
      <c r="B207" s="10"/>
      <c r="C207" s="10"/>
      <c r="D207" s="3"/>
      <c r="E207" s="131"/>
      <c r="F207" s="133"/>
      <c r="G207" s="133"/>
    </row>
    <row r="208" spans="1:7" s="8" customFormat="1" x14ac:dyDescent="0.25">
      <c r="A208" s="3"/>
      <c r="B208" s="10"/>
      <c r="C208" s="10"/>
      <c r="D208" s="3"/>
      <c r="E208" s="131"/>
      <c r="F208" s="133"/>
      <c r="G208" s="133"/>
    </row>
    <row r="209" spans="1:7" s="8" customFormat="1" x14ac:dyDescent="0.25">
      <c r="A209" s="3"/>
      <c r="B209" s="10"/>
      <c r="C209" s="10"/>
      <c r="D209" s="3"/>
      <c r="E209" s="131"/>
      <c r="F209" s="133"/>
      <c r="G209" s="133"/>
    </row>
    <row r="210" spans="1:7" s="8" customFormat="1" x14ac:dyDescent="0.25">
      <c r="A210" s="3"/>
      <c r="B210" s="10"/>
      <c r="C210" s="10"/>
      <c r="D210" s="3"/>
      <c r="E210" s="131"/>
      <c r="F210" s="133"/>
      <c r="G210" s="133"/>
    </row>
    <row r="211" spans="1:7" s="8" customFormat="1" x14ac:dyDescent="0.25">
      <c r="A211" s="3"/>
      <c r="B211" s="10"/>
      <c r="C211" s="10"/>
      <c r="D211" s="3"/>
      <c r="E211" s="131"/>
      <c r="F211" s="133"/>
      <c r="G211" s="133"/>
    </row>
    <row r="212" spans="1:7" s="8" customFormat="1" x14ac:dyDescent="0.25">
      <c r="A212" s="3"/>
      <c r="B212" s="10"/>
      <c r="C212" s="10"/>
      <c r="D212" s="3"/>
      <c r="E212" s="131"/>
      <c r="F212" s="133"/>
      <c r="G212" s="133"/>
    </row>
    <row r="213" spans="1:7" s="8" customFormat="1" x14ac:dyDescent="0.25">
      <c r="A213" s="3"/>
      <c r="B213" s="10"/>
      <c r="C213" s="10"/>
      <c r="D213" s="3"/>
      <c r="E213" s="131"/>
      <c r="F213" s="133"/>
      <c r="G213" s="133"/>
    </row>
    <row r="214" spans="1:7" s="8" customFormat="1" x14ac:dyDescent="0.25">
      <c r="A214" s="3"/>
      <c r="B214" s="10"/>
      <c r="C214" s="10"/>
      <c r="D214" s="3"/>
      <c r="E214" s="131"/>
      <c r="F214" s="133"/>
      <c r="G214" s="133"/>
    </row>
    <row r="215" spans="1:7" s="8" customFormat="1" x14ac:dyDescent="0.25">
      <c r="A215" s="3"/>
      <c r="B215" s="10"/>
      <c r="C215" s="10"/>
      <c r="D215" s="3"/>
      <c r="E215" s="131"/>
      <c r="F215" s="133"/>
      <c r="G215" s="133"/>
    </row>
    <row r="216" spans="1:7" s="8" customFormat="1" x14ac:dyDescent="0.25">
      <c r="A216" s="3"/>
      <c r="B216" s="10"/>
      <c r="C216" s="10"/>
      <c r="D216" s="3"/>
      <c r="E216" s="131"/>
      <c r="F216" s="133"/>
      <c r="G216" s="133"/>
    </row>
    <row r="217" spans="1:7" s="8" customFormat="1" x14ac:dyDescent="0.25">
      <c r="A217" s="3"/>
      <c r="B217" s="10"/>
      <c r="C217" s="10"/>
      <c r="D217" s="3"/>
      <c r="E217" s="131"/>
      <c r="F217" s="133"/>
      <c r="G217" s="133"/>
    </row>
    <row r="218" spans="1:7" s="8" customFormat="1" x14ac:dyDescent="0.25">
      <c r="A218" s="3"/>
      <c r="B218" s="10"/>
      <c r="C218" s="10"/>
      <c r="D218" s="3"/>
      <c r="E218" s="131"/>
      <c r="F218" s="133"/>
      <c r="G218" s="133"/>
    </row>
    <row r="219" spans="1:7" s="8" customFormat="1" x14ac:dyDescent="0.25">
      <c r="A219" s="3"/>
      <c r="B219" s="10"/>
      <c r="C219" s="10"/>
      <c r="D219" s="3"/>
      <c r="E219" s="131"/>
      <c r="F219" s="133"/>
      <c r="G219" s="133"/>
    </row>
    <row r="220" spans="1:7" s="8" customFormat="1" x14ac:dyDescent="0.25">
      <c r="A220" s="3"/>
      <c r="B220" s="10"/>
      <c r="C220" s="10"/>
      <c r="D220" s="3"/>
      <c r="E220" s="131"/>
      <c r="F220" s="133"/>
      <c r="G220" s="133"/>
    </row>
    <row r="221" spans="1:7" s="8" customFormat="1" x14ac:dyDescent="0.25">
      <c r="A221" s="3"/>
      <c r="B221" s="10"/>
      <c r="C221" s="10"/>
      <c r="D221" s="3"/>
      <c r="E221" s="131"/>
      <c r="F221" s="133"/>
      <c r="G221" s="133"/>
    </row>
    <row r="222" spans="1:7" s="8" customFormat="1" x14ac:dyDescent="0.25">
      <c r="A222" s="3"/>
      <c r="B222" s="10"/>
      <c r="C222" s="10"/>
      <c r="D222" s="3"/>
      <c r="E222" s="131"/>
      <c r="F222" s="133"/>
      <c r="G222" s="133"/>
    </row>
    <row r="223" spans="1:7" s="8" customFormat="1" x14ac:dyDescent="0.25">
      <c r="A223" s="3"/>
      <c r="B223" s="10"/>
      <c r="C223" s="10"/>
      <c r="D223" s="3"/>
      <c r="E223" s="131"/>
      <c r="F223" s="133"/>
      <c r="G223" s="133"/>
    </row>
    <row r="224" spans="1:7" s="8" customFormat="1" x14ac:dyDescent="0.25">
      <c r="A224" s="3"/>
      <c r="B224" s="10"/>
      <c r="C224" s="10"/>
      <c r="D224" s="3"/>
      <c r="E224" s="131"/>
      <c r="F224" s="133"/>
      <c r="G224" s="133"/>
    </row>
    <row r="225" spans="1:7" s="8" customFormat="1" x14ac:dyDescent="0.25">
      <c r="A225" s="3"/>
      <c r="B225" s="10"/>
      <c r="C225" s="10"/>
      <c r="D225" s="3"/>
      <c r="E225" s="131"/>
      <c r="F225" s="133"/>
      <c r="G225" s="133"/>
    </row>
    <row r="226" spans="1:7" s="8" customFormat="1" x14ac:dyDescent="0.25">
      <c r="A226" s="3"/>
      <c r="B226" s="10"/>
      <c r="C226" s="10"/>
      <c r="D226" s="3"/>
      <c r="E226" s="131"/>
      <c r="F226" s="133"/>
      <c r="G226" s="133"/>
    </row>
    <row r="227" spans="1:7" s="8" customFormat="1" x14ac:dyDescent="0.25">
      <c r="A227" s="3"/>
      <c r="B227" s="10"/>
      <c r="C227" s="10"/>
      <c r="D227" s="3"/>
      <c r="E227" s="131"/>
      <c r="F227" s="133"/>
      <c r="G227" s="133"/>
    </row>
    <row r="228" spans="1:7" s="8" customFormat="1" x14ac:dyDescent="0.25">
      <c r="A228" s="3"/>
      <c r="B228" s="10"/>
      <c r="C228" s="10"/>
      <c r="D228" s="3"/>
      <c r="E228" s="131"/>
      <c r="F228" s="133"/>
      <c r="G228" s="133"/>
    </row>
    <row r="229" spans="1:7" s="8" customFormat="1" x14ac:dyDescent="0.25">
      <c r="A229" s="3"/>
      <c r="B229" s="10"/>
      <c r="C229" s="10"/>
      <c r="D229" s="3"/>
      <c r="E229" s="131"/>
      <c r="F229" s="133"/>
      <c r="G229" s="133"/>
    </row>
    <row r="230" spans="1:7" s="8" customFormat="1" x14ac:dyDescent="0.25">
      <c r="A230" s="3"/>
      <c r="B230" s="10"/>
      <c r="C230" s="10"/>
      <c r="D230" s="3"/>
      <c r="E230" s="131"/>
      <c r="F230" s="133"/>
      <c r="G230" s="133"/>
    </row>
    <row r="231" spans="1:7" s="8" customFormat="1" x14ac:dyDescent="0.25">
      <c r="A231" s="3"/>
      <c r="B231" s="10"/>
      <c r="C231" s="10"/>
      <c r="D231" s="3"/>
      <c r="E231" s="131"/>
      <c r="F231" s="133"/>
      <c r="G231" s="133"/>
    </row>
    <row r="232" spans="1:7" s="8" customFormat="1" x14ac:dyDescent="0.25">
      <c r="A232" s="3"/>
      <c r="B232" s="10"/>
      <c r="C232" s="10"/>
      <c r="D232" s="3"/>
      <c r="E232" s="131"/>
      <c r="F232" s="133"/>
      <c r="G232" s="133"/>
    </row>
    <row r="233" spans="1:7" s="8" customFormat="1" x14ac:dyDescent="0.25">
      <c r="A233" s="3"/>
      <c r="B233" s="10"/>
      <c r="C233" s="10"/>
      <c r="D233" s="3"/>
      <c r="E233" s="131"/>
      <c r="F233" s="133"/>
      <c r="G233" s="133"/>
    </row>
    <row r="234" spans="1:7" s="8" customFormat="1" x14ac:dyDescent="0.25">
      <c r="A234" s="3"/>
      <c r="B234" s="10"/>
      <c r="C234" s="10"/>
      <c r="D234" s="3"/>
      <c r="E234" s="131"/>
      <c r="F234" s="133"/>
      <c r="G234" s="133"/>
    </row>
    <row r="235" spans="1:7" s="8" customFormat="1" x14ac:dyDescent="0.25">
      <c r="A235" s="3"/>
      <c r="B235" s="10"/>
      <c r="C235" s="10"/>
      <c r="D235" s="3"/>
      <c r="E235" s="131"/>
      <c r="F235" s="133"/>
      <c r="G235" s="133"/>
    </row>
    <row r="236" spans="1:7" s="8" customFormat="1" x14ac:dyDescent="0.25">
      <c r="A236" s="3"/>
      <c r="B236" s="10"/>
      <c r="C236" s="10"/>
      <c r="D236" s="3"/>
      <c r="E236" s="131"/>
      <c r="F236" s="133"/>
      <c r="G236" s="133"/>
    </row>
  </sheetData>
  <sheetProtection algorithmName="SHA-512" hashValue="dezLrDSNQthZ4HeDC8EgwZUSN0uv4KvHgfSX07nx9IXvg+yaWvTD8SQpCwPHUVfyahh/HoVygDF5ATdp5vK0pQ==" saltValue="G4C+XJJbL/amNrUGjAVk/w==" spinCount="100000" sheet="1" objects="1" scenarios="1" selectLockedCells="1"/>
  <mergeCells count="1">
    <mergeCell ref="A1:G2"/>
  </mergeCells>
  <pageMargins left="2.8740157480314963" right="0.70866141732283472" top="0.74803149606299213" bottom="0.74803149606299213" header="0.31496062992125984" footer="0.31496062992125984"/>
  <pageSetup paperSize="8" orientation="landscape"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F4"/>
  <sheetViews>
    <sheetView showGridLines="0" zoomScaleNormal="100" workbookViewId="0">
      <selection activeCell="E4" sqref="E4"/>
    </sheetView>
  </sheetViews>
  <sheetFormatPr defaultColWidth="8.85546875" defaultRowHeight="11.25" x14ac:dyDescent="0.25"/>
  <cols>
    <col min="1" max="1" width="14.85546875" style="21" customWidth="1"/>
    <col min="2" max="2" width="72.140625" style="21" customWidth="1"/>
    <col min="3" max="3" width="54.5703125" style="22" customWidth="1"/>
    <col min="4" max="4" width="42.5703125" style="22" customWidth="1"/>
    <col min="5" max="5" width="20.28515625" style="22" customWidth="1"/>
    <col min="6" max="6" width="19.28515625" style="22" customWidth="1"/>
    <col min="7" max="16384" width="8.85546875" style="22"/>
  </cols>
  <sheetData>
    <row r="1" spans="1:6" ht="12" customHeight="1" x14ac:dyDescent="0.25">
      <c r="A1" s="291" t="s">
        <v>1080</v>
      </c>
      <c r="B1" s="291"/>
      <c r="C1" s="291"/>
      <c r="D1" s="291"/>
      <c r="E1" s="291"/>
      <c r="F1" s="291"/>
    </row>
    <row r="2" spans="1:6" ht="12" customHeight="1" x14ac:dyDescent="0.25">
      <c r="A2" s="291"/>
      <c r="B2" s="291"/>
      <c r="C2" s="291"/>
      <c r="D2" s="291"/>
      <c r="E2" s="291"/>
      <c r="F2" s="291"/>
    </row>
    <row r="3" spans="1:6" s="21" customFormat="1" x14ac:dyDescent="0.25">
      <c r="A3" s="1" t="s">
        <v>1054</v>
      </c>
      <c r="B3" s="1" t="s">
        <v>1055</v>
      </c>
      <c r="C3" s="1" t="s">
        <v>1588</v>
      </c>
      <c r="D3" s="185" t="s">
        <v>1599</v>
      </c>
      <c r="E3" s="185" t="s">
        <v>1598</v>
      </c>
      <c r="F3" s="128" t="s">
        <v>1597</v>
      </c>
    </row>
    <row r="4" spans="1:6" ht="136.5" customHeight="1" x14ac:dyDescent="0.25">
      <c r="A4" s="21" t="s">
        <v>1057</v>
      </c>
      <c r="B4" s="21" t="s">
        <v>1058</v>
      </c>
      <c r="C4" s="21" t="s">
        <v>1629</v>
      </c>
      <c r="D4" s="250"/>
      <c r="E4" s="251"/>
      <c r="F4" s="252">
        <f>Serviç_Apoio_Valores[[#This Row],[VALOR  MENSAL]]*12</f>
        <v>0</v>
      </c>
    </row>
  </sheetData>
  <sheetProtection algorithmName="SHA-512" hashValue="RIjYFjRyJetp08Umf63Ligb/QgjIgTCJ7YkCDGE9MkxWmA2jYgmTCiMsh9fwFFDj1JC5RlSizcigBYJBbq8bsg==" saltValue="Vtv49wCp4ZMK/4mJAWTfLw==" spinCount="100000" sheet="1" objects="1" scenarios="1" selectLockedCells="1"/>
  <mergeCells count="1">
    <mergeCell ref="A1:F2"/>
  </mergeCells>
  <phoneticPr fontId="1" type="noConversion"/>
  <pageMargins left="0.51181102362204722" right="0.51181102362204722" top="1.1811023622047245" bottom="0.78740157480314965" header="0.31496062992125984" footer="0.31496062992125984"/>
  <pageSetup paperSize="8" scale="88" orientation="landscape"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election activeCell="D4" sqref="D4"/>
    </sheetView>
  </sheetViews>
  <sheetFormatPr defaultRowHeight="11.25" x14ac:dyDescent="0.25"/>
  <cols>
    <col min="1" max="1" width="27.7109375" style="17" customWidth="1"/>
    <col min="2" max="2" width="12.85546875" style="17" customWidth="1"/>
    <col min="3" max="3" width="11.42578125" style="17" customWidth="1"/>
    <col min="4" max="4" width="12.42578125" style="17" customWidth="1"/>
    <col min="5" max="5" width="16.5703125" style="17" customWidth="1"/>
    <col min="6" max="16384" width="9.140625" style="17"/>
  </cols>
  <sheetData>
    <row r="1" spans="1:5" ht="11.25" customHeight="1" x14ac:dyDescent="0.25">
      <c r="A1" s="281" t="s">
        <v>1556</v>
      </c>
      <c r="B1" s="281"/>
      <c r="C1" s="281"/>
      <c r="D1" s="281"/>
      <c r="E1" s="281"/>
    </row>
    <row r="2" spans="1:5" ht="11.25" customHeight="1" x14ac:dyDescent="0.25">
      <c r="A2" s="281"/>
      <c r="B2" s="281"/>
      <c r="C2" s="281"/>
      <c r="D2" s="281"/>
      <c r="E2" s="281"/>
    </row>
    <row r="3" spans="1:5" s="48" customFormat="1" x14ac:dyDescent="0.25">
      <c r="A3" s="9" t="s">
        <v>1555</v>
      </c>
      <c r="B3" s="9" t="s">
        <v>1056</v>
      </c>
      <c r="C3" s="21" t="s">
        <v>1132</v>
      </c>
      <c r="D3" s="186" t="s">
        <v>1385</v>
      </c>
      <c r="E3" s="48" t="s">
        <v>1386</v>
      </c>
    </row>
    <row r="4" spans="1:5" x14ac:dyDescent="0.25">
      <c r="A4" s="253" t="s">
        <v>1543</v>
      </c>
      <c r="B4" s="253" t="s">
        <v>1614</v>
      </c>
      <c r="C4" s="253">
        <v>1</v>
      </c>
      <c r="D4" s="237"/>
      <c r="E4" s="240">
        <f>Est_Inf_Dados[[#This Row],[VALOR UNID]]*Est_Inf_Dados[[#This Row],[QUANT]]</f>
        <v>0</v>
      </c>
    </row>
    <row r="5" spans="1:5" x14ac:dyDescent="0.25">
      <c r="A5" s="8" t="s">
        <v>1543</v>
      </c>
      <c r="B5" s="22" t="s">
        <v>1615</v>
      </c>
      <c r="C5" s="22">
        <v>4</v>
      </c>
      <c r="D5" s="171"/>
      <c r="E5" s="18">
        <f>Est_Inf_Dados[[#This Row],[VALOR UNID]]*Est_Inf_Dados[[#This Row],[QUANT]]</f>
        <v>0</v>
      </c>
    </row>
    <row r="6" spans="1:5" x14ac:dyDescent="0.25">
      <c r="A6" s="253" t="s">
        <v>1543</v>
      </c>
      <c r="B6" s="253" t="s">
        <v>1616</v>
      </c>
      <c r="C6" s="253">
        <v>5</v>
      </c>
      <c r="D6" s="237"/>
      <c r="E6" s="240">
        <f>Est_Inf_Dados[[#This Row],[VALOR UNID]]*Est_Inf_Dados[[#This Row],[QUANT]]</f>
        <v>0</v>
      </c>
    </row>
    <row r="7" spans="1:5" x14ac:dyDescent="0.25">
      <c r="A7" s="8" t="s">
        <v>1543</v>
      </c>
      <c r="B7" s="22" t="s">
        <v>1617</v>
      </c>
      <c r="C7" s="22">
        <v>5</v>
      </c>
      <c r="D7" s="171"/>
      <c r="E7" s="18">
        <f>Est_Inf_Dados[[#This Row],[VALOR UNID]]*Est_Inf_Dados[[#This Row],[QUANT]]</f>
        <v>0</v>
      </c>
    </row>
    <row r="8" spans="1:5" x14ac:dyDescent="0.25">
      <c r="A8" s="253" t="s">
        <v>1543</v>
      </c>
      <c r="B8" s="253" t="s">
        <v>1618</v>
      </c>
      <c r="C8" s="253">
        <v>4</v>
      </c>
      <c r="D8" s="237"/>
      <c r="E8" s="240">
        <f>Est_Inf_Dados[[#This Row],[VALOR UNID]]*Est_Inf_Dados[[#This Row],[QUANT]]</f>
        <v>0</v>
      </c>
    </row>
    <row r="9" spans="1:5" x14ac:dyDescent="0.25">
      <c r="A9" s="8" t="s">
        <v>1543</v>
      </c>
      <c r="B9" s="22" t="s">
        <v>1619</v>
      </c>
      <c r="C9" s="22">
        <v>6</v>
      </c>
      <c r="D9" s="171"/>
      <c r="E9" s="18">
        <f>Est_Inf_Dados[[#This Row],[VALOR UNID]]*Est_Inf_Dados[[#This Row],[QUANT]]</f>
        <v>0</v>
      </c>
    </row>
    <row r="10" spans="1:5" x14ac:dyDescent="0.25">
      <c r="A10" s="253" t="s">
        <v>1543</v>
      </c>
      <c r="B10" s="253" t="s">
        <v>1620</v>
      </c>
      <c r="C10" s="253">
        <v>5</v>
      </c>
      <c r="D10" s="237"/>
      <c r="E10" s="240">
        <f>Est_Inf_Dados[[#This Row],[VALOR UNID]]*Est_Inf_Dados[[#This Row],[QUANT]]</f>
        <v>0</v>
      </c>
    </row>
    <row r="11" spans="1:5" x14ac:dyDescent="0.25">
      <c r="A11" s="8" t="s">
        <v>1543</v>
      </c>
      <c r="B11" s="22" t="s">
        <v>1621</v>
      </c>
      <c r="C11" s="22">
        <v>4</v>
      </c>
      <c r="D11" s="171"/>
      <c r="E11" s="18">
        <f>Est_Inf_Dados[[#This Row],[VALOR UNID]]*Est_Inf_Dados[[#This Row],[QUANT]]</f>
        <v>0</v>
      </c>
    </row>
    <row r="12" spans="1:5" x14ac:dyDescent="0.25">
      <c r="A12" s="253" t="s">
        <v>1543</v>
      </c>
      <c r="B12" s="253" t="s">
        <v>1622</v>
      </c>
      <c r="C12" s="253">
        <v>5</v>
      </c>
      <c r="D12" s="237"/>
      <c r="E12" s="240">
        <f>Est_Inf_Dados[[#This Row],[VALOR UNID]]*Est_Inf_Dados[[#This Row],[QUANT]]</f>
        <v>0</v>
      </c>
    </row>
    <row r="13" spans="1:5" x14ac:dyDescent="0.25">
      <c r="A13" s="8" t="s">
        <v>1543</v>
      </c>
      <c r="B13" s="22" t="s">
        <v>1623</v>
      </c>
      <c r="C13" s="22">
        <v>2</v>
      </c>
      <c r="D13" s="171"/>
      <c r="E13" s="18">
        <f>Est_Inf_Dados[[#This Row],[VALOR UNID]]*Est_Inf_Dados[[#This Row],[QUANT]]</f>
        <v>0</v>
      </c>
    </row>
    <row r="14" spans="1:5" x14ac:dyDescent="0.25">
      <c r="A14" s="253" t="s">
        <v>1543</v>
      </c>
      <c r="B14" s="253" t="s">
        <v>1624</v>
      </c>
      <c r="C14" s="253">
        <v>4</v>
      </c>
      <c r="D14" s="237"/>
      <c r="E14" s="240">
        <f>Est_Inf_Dados[[#This Row],[VALOR UNID]]*Est_Inf_Dados[[#This Row],[QUANT]]</f>
        <v>0</v>
      </c>
    </row>
    <row r="15" spans="1:5" x14ac:dyDescent="0.25">
      <c r="A15" s="8" t="s">
        <v>1543</v>
      </c>
      <c r="B15" s="22" t="s">
        <v>1625</v>
      </c>
      <c r="C15" s="22">
        <v>3</v>
      </c>
      <c r="D15" s="171"/>
      <c r="E15" s="18">
        <f>Est_Inf_Dados[[#This Row],[VALOR UNID]]*Est_Inf_Dados[[#This Row],[QUANT]]</f>
        <v>0</v>
      </c>
    </row>
    <row r="16" spans="1:5" x14ac:dyDescent="0.25">
      <c r="A16" s="253" t="s">
        <v>1543</v>
      </c>
      <c r="B16" s="253" t="s">
        <v>1626</v>
      </c>
      <c r="C16" s="253">
        <v>4</v>
      </c>
      <c r="D16" s="237"/>
      <c r="E16" s="240">
        <f>Est_Inf_Dados[[#This Row],[VALOR UNID]]*Est_Inf_Dados[[#This Row],[QUANT]]</f>
        <v>0</v>
      </c>
    </row>
    <row r="17" spans="1:5" x14ac:dyDescent="0.25">
      <c r="A17" s="8" t="s">
        <v>1543</v>
      </c>
      <c r="B17" s="22" t="s">
        <v>1627</v>
      </c>
      <c r="C17" s="22">
        <v>4</v>
      </c>
      <c r="D17" s="171"/>
      <c r="E17" s="18">
        <f>Est_Inf_Dados[[#This Row],[VALOR UNID]]*Est_Inf_Dados[[#This Row],[QUANT]]</f>
        <v>0</v>
      </c>
    </row>
    <row r="18" spans="1:5" x14ac:dyDescent="0.25">
      <c r="A18" s="253" t="s">
        <v>1543</v>
      </c>
      <c r="B18" s="253" t="s">
        <v>1628</v>
      </c>
      <c r="C18" s="253">
        <v>3</v>
      </c>
      <c r="D18" s="237"/>
      <c r="E18" s="240">
        <f>Est_Inf_Dados[[#This Row],[VALOR UNID]]*Est_Inf_Dados[[#This Row],[QUANT]]</f>
        <v>0</v>
      </c>
    </row>
    <row r="19" spans="1:5" x14ac:dyDescent="0.25">
      <c r="B19" s="140"/>
      <c r="C19" s="140">
        <f>SUBTOTAL(109,Est_Inf_Dados[QUANT])</f>
        <v>59</v>
      </c>
      <c r="D19" s="139"/>
      <c r="E19" s="139">
        <f>SUBTOTAL(109,Est_Inf_Valores[VALOR TOTAL])</f>
        <v>0</v>
      </c>
    </row>
  </sheetData>
  <sheetProtection algorithmName="SHA-512" hashValue="vBt58m5JmXceNBDjpDzHovfuBSq/0R4xzbdm3kDLVlh/QNOpHqrxk9lki0ObZ3bC6k3iL9FBYhv7mkg8vrjGNg==" saltValue="QVESZConUCmSbNV5paeq7w==" spinCount="100000" sheet="1" objects="1" scenarios="1" selectLockedCells="1"/>
  <mergeCells count="1">
    <mergeCell ref="A1:E2"/>
  </mergeCells>
  <pageMargins left="4.8425196850393704" right="0.51181102362204722" top="1.5748031496062993" bottom="0.78740157480314965" header="0.31496062992125984" footer="0.31496062992125984"/>
  <pageSetup paperSize="8" orientation="landscape" r:id="rId1"/>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23"/>
  <sheetViews>
    <sheetView showGridLines="0" zoomScaleNormal="100" workbookViewId="0">
      <selection activeCell="G4" sqref="G4"/>
    </sheetView>
  </sheetViews>
  <sheetFormatPr defaultColWidth="8.85546875" defaultRowHeight="11.25" outlineLevelCol="1" x14ac:dyDescent="0.25"/>
  <cols>
    <col min="1" max="1" width="6.7109375" style="3" customWidth="1"/>
    <col min="2" max="2" width="15.85546875" style="10" customWidth="1"/>
    <col min="3" max="3" width="13.7109375" style="10" customWidth="1"/>
    <col min="4" max="4" width="16.85546875" style="10" customWidth="1"/>
    <col min="5" max="5" width="9.140625" style="10" customWidth="1"/>
    <col min="6" max="6" width="8.7109375" style="3" customWidth="1"/>
    <col min="7" max="7" width="15.7109375" style="3" customWidth="1"/>
    <col min="8" max="8" width="17.7109375" style="3" customWidth="1"/>
    <col min="9" max="9" width="8.85546875" style="3"/>
    <col min="10" max="12" width="8.85546875" style="3" hidden="1" customWidth="1" outlineLevel="1"/>
    <col min="13" max="13" width="8.85546875" style="3" collapsed="1"/>
    <col min="14" max="16384" width="8.85546875" style="3"/>
  </cols>
  <sheetData>
    <row r="1" spans="1:12" ht="11.25" customHeight="1" x14ac:dyDescent="0.25">
      <c r="A1" s="289" t="s">
        <v>1339</v>
      </c>
      <c r="B1" s="289"/>
      <c r="C1" s="289"/>
      <c r="D1" s="289"/>
      <c r="E1" s="289"/>
      <c r="F1" s="289"/>
      <c r="G1" s="289"/>
      <c r="H1" s="289"/>
    </row>
    <row r="2" spans="1:12" ht="11.25" customHeight="1" x14ac:dyDescent="0.25">
      <c r="A2" s="289"/>
      <c r="B2" s="289"/>
      <c r="C2" s="289"/>
      <c r="D2" s="289"/>
      <c r="E2" s="289"/>
      <c r="F2" s="289"/>
      <c r="G2" s="289"/>
      <c r="H2" s="289"/>
    </row>
    <row r="3" spans="1:12" s="7" customFormat="1" ht="21" x14ac:dyDescent="0.25">
      <c r="A3" s="7" t="s">
        <v>1119</v>
      </c>
      <c r="B3" s="7" t="s">
        <v>538</v>
      </c>
      <c r="C3" s="7" t="s">
        <v>539</v>
      </c>
      <c r="D3" s="7" t="s">
        <v>540</v>
      </c>
      <c r="E3" s="7" t="s">
        <v>541</v>
      </c>
      <c r="F3" s="7" t="s">
        <v>1132</v>
      </c>
      <c r="G3" s="183" t="s">
        <v>1385</v>
      </c>
      <c r="H3" s="7" t="s">
        <v>1386</v>
      </c>
      <c r="J3" s="7" t="s">
        <v>1122</v>
      </c>
      <c r="K3" s="7" t="s">
        <v>1123</v>
      </c>
      <c r="L3" s="7" t="s">
        <v>1328</v>
      </c>
    </row>
    <row r="4" spans="1:12" s="8" customFormat="1" x14ac:dyDescent="0.25">
      <c r="A4" s="253" t="s">
        <v>4</v>
      </c>
      <c r="B4" s="254" t="s">
        <v>744</v>
      </c>
      <c r="C4" s="254" t="s">
        <v>745</v>
      </c>
      <c r="D4" s="254" t="s">
        <v>543</v>
      </c>
      <c r="E4" s="254" t="s">
        <v>553</v>
      </c>
      <c r="F4" s="253">
        <v>2</v>
      </c>
      <c r="G4" s="237"/>
      <c r="H4" s="236">
        <f>Mat_Saúde_Nun_e_Gomes[[#This Row],[VALOR UNID]]*Mat_Saúde_Dados[[#This Row],[QUANT]]</f>
        <v>0</v>
      </c>
      <c r="J4" s="8">
        <f>Mat_Saúde_Nun_e_Gomes[[#This Row],[VALOR UNID]]</f>
        <v>0</v>
      </c>
      <c r="K4" s="8" t="e">
        <f>#REF!</f>
        <v>#REF!</v>
      </c>
      <c r="L4" s="8" t="e">
        <f>#REF!</f>
        <v>#REF!</v>
      </c>
    </row>
    <row r="5" spans="1:12" s="8" customFormat="1" x14ac:dyDescent="0.25">
      <c r="A5" s="22" t="s">
        <v>9</v>
      </c>
      <c r="B5" s="21" t="s">
        <v>744</v>
      </c>
      <c r="C5" s="21" t="s">
        <v>746</v>
      </c>
      <c r="D5" s="21" t="s">
        <v>695</v>
      </c>
      <c r="E5" s="21" t="s">
        <v>553</v>
      </c>
      <c r="F5" s="22">
        <v>15</v>
      </c>
      <c r="G5" s="176"/>
      <c r="H5" s="13">
        <f>Mat_Saúde_Nun_e_Gomes[[#This Row],[VALOR UNID]]*Mat_Saúde_Dados[[#This Row],[QUANT]]</f>
        <v>0</v>
      </c>
      <c r="J5" s="8">
        <f>Mat_Saúde_Nun_e_Gomes[[#This Row],[VALOR UNID]]</f>
        <v>0</v>
      </c>
      <c r="K5" s="8" t="e">
        <f>#REF!</f>
        <v>#REF!</v>
      </c>
      <c r="L5" s="8" t="e">
        <f>#REF!</f>
        <v>#REF!</v>
      </c>
    </row>
    <row r="6" spans="1:12" s="8" customFormat="1" x14ac:dyDescent="0.25">
      <c r="A6" s="253" t="s">
        <v>12</v>
      </c>
      <c r="B6" s="254" t="s">
        <v>744</v>
      </c>
      <c r="C6" s="254" t="s">
        <v>746</v>
      </c>
      <c r="D6" s="254" t="s">
        <v>747</v>
      </c>
      <c r="E6" s="254" t="s">
        <v>553</v>
      </c>
      <c r="F6" s="253">
        <v>15</v>
      </c>
      <c r="G6" s="237"/>
      <c r="H6" s="236">
        <f>Mat_Saúde_Nun_e_Gomes[[#This Row],[VALOR UNID]]*Mat_Saúde_Dados[[#This Row],[QUANT]]</f>
        <v>0</v>
      </c>
      <c r="J6" s="8">
        <f>Mat_Saúde_Nun_e_Gomes[[#This Row],[VALOR UNID]]</f>
        <v>0</v>
      </c>
      <c r="K6" s="8" t="e">
        <f>#REF!</f>
        <v>#REF!</v>
      </c>
      <c r="L6" s="8" t="e">
        <f>#REF!</f>
        <v>#REF!</v>
      </c>
    </row>
    <row r="7" spans="1:12" s="8" customFormat="1" ht="45" x14ac:dyDescent="0.25">
      <c r="A7" s="22" t="s">
        <v>15</v>
      </c>
      <c r="B7" s="21" t="s">
        <v>744</v>
      </c>
      <c r="C7" s="21" t="s">
        <v>748</v>
      </c>
      <c r="D7" s="21" t="s">
        <v>749</v>
      </c>
      <c r="E7" s="21" t="s">
        <v>553</v>
      </c>
      <c r="F7" s="22">
        <v>15</v>
      </c>
      <c r="G7" s="176"/>
      <c r="H7" s="13">
        <f>Mat_Saúde_Nun_e_Gomes[[#This Row],[VALOR UNID]]*Mat_Saúde_Dados[[#This Row],[QUANT]]</f>
        <v>0</v>
      </c>
      <c r="J7" s="8">
        <f>Mat_Saúde_Nun_e_Gomes[[#This Row],[VALOR UNID]]</f>
        <v>0</v>
      </c>
      <c r="K7" s="8" t="e">
        <f>#REF!</f>
        <v>#REF!</v>
      </c>
      <c r="L7" s="8" t="e">
        <f>#REF!</f>
        <v>#REF!</v>
      </c>
    </row>
    <row r="8" spans="1:12" s="8" customFormat="1" ht="45" x14ac:dyDescent="0.25">
      <c r="A8" s="253" t="s">
        <v>18</v>
      </c>
      <c r="B8" s="254" t="s">
        <v>744</v>
      </c>
      <c r="C8" s="254" t="s">
        <v>750</v>
      </c>
      <c r="D8" s="254" t="s">
        <v>749</v>
      </c>
      <c r="E8" s="254" t="s">
        <v>553</v>
      </c>
      <c r="F8" s="253">
        <v>2</v>
      </c>
      <c r="G8" s="237"/>
      <c r="H8" s="236">
        <f>Mat_Saúde_Nun_e_Gomes[[#This Row],[VALOR UNID]]*Mat_Saúde_Dados[[#This Row],[QUANT]]</f>
        <v>0</v>
      </c>
      <c r="J8" s="8">
        <f>Mat_Saúde_Nun_e_Gomes[[#This Row],[VALOR UNID]]</f>
        <v>0</v>
      </c>
      <c r="K8" s="8" t="e">
        <f>#REF!</f>
        <v>#REF!</v>
      </c>
      <c r="L8" s="8" t="e">
        <f>#REF!</f>
        <v>#REF!</v>
      </c>
    </row>
    <row r="9" spans="1:12" s="8" customFormat="1" x14ac:dyDescent="0.25">
      <c r="A9" s="22" t="s">
        <v>21</v>
      </c>
      <c r="B9" s="21" t="s">
        <v>744</v>
      </c>
      <c r="C9" s="21" t="s">
        <v>751</v>
      </c>
      <c r="D9" s="21" t="s">
        <v>749</v>
      </c>
      <c r="E9" s="21" t="s">
        <v>553</v>
      </c>
      <c r="F9" s="22">
        <v>15</v>
      </c>
      <c r="G9" s="176"/>
      <c r="H9" s="13">
        <f>Mat_Saúde_Nun_e_Gomes[[#This Row],[VALOR UNID]]*Mat_Saúde_Dados[[#This Row],[QUANT]]</f>
        <v>0</v>
      </c>
      <c r="J9" s="8">
        <f>Mat_Saúde_Nun_e_Gomes[[#This Row],[VALOR UNID]]</f>
        <v>0</v>
      </c>
      <c r="K9" s="8" t="e">
        <f>#REF!</f>
        <v>#REF!</v>
      </c>
      <c r="L9" s="8" t="e">
        <f>#REF!</f>
        <v>#REF!</v>
      </c>
    </row>
    <row r="10" spans="1:12" s="8" customFormat="1" ht="33.75" x14ac:dyDescent="0.25">
      <c r="A10" s="253" t="s">
        <v>24</v>
      </c>
      <c r="B10" s="254" t="s">
        <v>744</v>
      </c>
      <c r="C10" s="254" t="s">
        <v>752</v>
      </c>
      <c r="D10" s="254" t="s">
        <v>749</v>
      </c>
      <c r="E10" s="254" t="s">
        <v>553</v>
      </c>
      <c r="F10" s="253">
        <v>10</v>
      </c>
      <c r="G10" s="237"/>
      <c r="H10" s="236">
        <f>Mat_Saúde_Nun_e_Gomes[[#This Row],[VALOR UNID]]*Mat_Saúde_Dados[[#This Row],[QUANT]]</f>
        <v>0</v>
      </c>
      <c r="J10" s="8">
        <f>Mat_Saúde_Nun_e_Gomes[[#This Row],[VALOR UNID]]</f>
        <v>0</v>
      </c>
      <c r="K10" s="8" t="e">
        <f>#REF!</f>
        <v>#REF!</v>
      </c>
      <c r="L10" s="8" t="e">
        <f>#REF!</f>
        <v>#REF!</v>
      </c>
    </row>
    <row r="11" spans="1:12" s="8" customFormat="1" ht="22.5" x14ac:dyDescent="0.25">
      <c r="A11" s="22" t="s">
        <v>28</v>
      </c>
      <c r="B11" s="21" t="s">
        <v>744</v>
      </c>
      <c r="C11" s="21" t="s">
        <v>753</v>
      </c>
      <c r="D11" s="21" t="s">
        <v>749</v>
      </c>
      <c r="E11" s="21" t="s">
        <v>553</v>
      </c>
      <c r="F11" s="22">
        <v>6</v>
      </c>
      <c r="G11" s="176"/>
      <c r="H11" s="13">
        <f>Mat_Saúde_Nun_e_Gomes[[#This Row],[VALOR UNID]]*Mat_Saúde_Dados[[#This Row],[QUANT]]</f>
        <v>0</v>
      </c>
      <c r="J11" s="8">
        <f>Mat_Saúde_Nun_e_Gomes[[#This Row],[VALOR UNID]]</f>
        <v>0</v>
      </c>
      <c r="K11" s="8" t="e">
        <f>#REF!</f>
        <v>#REF!</v>
      </c>
      <c r="L11" s="8" t="e">
        <f>#REF!</f>
        <v>#REF!</v>
      </c>
    </row>
    <row r="12" spans="1:12" s="8" customFormat="1" ht="33.75" x14ac:dyDescent="0.25">
      <c r="A12" s="253" t="s">
        <v>29</v>
      </c>
      <c r="B12" s="254" t="s">
        <v>744</v>
      </c>
      <c r="C12" s="254" t="s">
        <v>754</v>
      </c>
      <c r="D12" s="254" t="s">
        <v>543</v>
      </c>
      <c r="E12" s="254" t="s">
        <v>553</v>
      </c>
      <c r="F12" s="253">
        <v>3</v>
      </c>
      <c r="G12" s="237"/>
      <c r="H12" s="236">
        <f>Mat_Saúde_Nun_e_Gomes[[#This Row],[VALOR UNID]]*Mat_Saúde_Dados[[#This Row],[QUANT]]</f>
        <v>0</v>
      </c>
      <c r="J12" s="8">
        <f>Mat_Saúde_Nun_e_Gomes[[#This Row],[VALOR UNID]]</f>
        <v>0</v>
      </c>
      <c r="K12" s="8" t="e">
        <f>#REF!</f>
        <v>#REF!</v>
      </c>
      <c r="L12" s="8" t="e">
        <f>#REF!</f>
        <v>#REF!</v>
      </c>
    </row>
    <row r="13" spans="1:12" s="8" customFormat="1" ht="22.5" x14ac:dyDescent="0.25">
      <c r="A13" s="22" t="s">
        <v>31</v>
      </c>
      <c r="B13" s="21" t="s">
        <v>744</v>
      </c>
      <c r="C13" s="21" t="s">
        <v>755</v>
      </c>
      <c r="D13" s="21" t="s">
        <v>756</v>
      </c>
      <c r="E13" s="21" t="s">
        <v>553</v>
      </c>
      <c r="F13" s="22">
        <v>15</v>
      </c>
      <c r="G13" s="176"/>
      <c r="H13" s="13">
        <f>Mat_Saúde_Nun_e_Gomes[[#This Row],[VALOR UNID]]*Mat_Saúde_Dados[[#This Row],[QUANT]]</f>
        <v>0</v>
      </c>
      <c r="J13" s="8">
        <f>Mat_Saúde_Nun_e_Gomes[[#This Row],[VALOR UNID]]</f>
        <v>0</v>
      </c>
      <c r="K13" s="8" t="e">
        <f>#REF!</f>
        <v>#REF!</v>
      </c>
      <c r="L13" s="8" t="e">
        <f>#REF!</f>
        <v>#REF!</v>
      </c>
    </row>
    <row r="14" spans="1:12" s="8" customFormat="1" ht="22.5" x14ac:dyDescent="0.25">
      <c r="A14" s="253" t="s">
        <v>35</v>
      </c>
      <c r="B14" s="254" t="s">
        <v>744</v>
      </c>
      <c r="C14" s="254" t="s">
        <v>757</v>
      </c>
      <c r="D14" s="254" t="s">
        <v>758</v>
      </c>
      <c r="E14" s="254" t="s">
        <v>553</v>
      </c>
      <c r="F14" s="253">
        <v>15</v>
      </c>
      <c r="G14" s="237"/>
      <c r="H14" s="236">
        <f>Mat_Saúde_Nun_e_Gomes[[#This Row],[VALOR UNID]]*Mat_Saúde_Dados[[#This Row],[QUANT]]</f>
        <v>0</v>
      </c>
      <c r="J14" s="8">
        <f>Mat_Saúde_Nun_e_Gomes[[#This Row],[VALOR UNID]]</f>
        <v>0</v>
      </c>
      <c r="K14" s="8" t="e">
        <f>#REF!</f>
        <v>#REF!</v>
      </c>
      <c r="L14" s="8" t="e">
        <f>#REF!</f>
        <v>#REF!</v>
      </c>
    </row>
    <row r="15" spans="1:12" s="8" customFormat="1" ht="22.5" x14ac:dyDescent="0.25">
      <c r="A15" s="22" t="s">
        <v>37</v>
      </c>
      <c r="B15" s="21" t="s">
        <v>744</v>
      </c>
      <c r="C15" s="21" t="s">
        <v>759</v>
      </c>
      <c r="D15" s="21" t="s">
        <v>749</v>
      </c>
      <c r="E15" s="21" t="s">
        <v>553</v>
      </c>
      <c r="F15" s="22">
        <v>15</v>
      </c>
      <c r="G15" s="176"/>
      <c r="H15" s="13">
        <f>Mat_Saúde_Nun_e_Gomes[[#This Row],[VALOR UNID]]*Mat_Saúde_Dados[[#This Row],[QUANT]]</f>
        <v>0</v>
      </c>
      <c r="J15" s="8">
        <f>Mat_Saúde_Nun_e_Gomes[[#This Row],[VALOR UNID]]</f>
        <v>0</v>
      </c>
      <c r="K15" s="8" t="e">
        <f>#REF!</f>
        <v>#REF!</v>
      </c>
      <c r="L15" s="8" t="e">
        <f>#REF!</f>
        <v>#REF!</v>
      </c>
    </row>
    <row r="16" spans="1:12" s="8" customFormat="1" ht="101.25" x14ac:dyDescent="0.25">
      <c r="A16" s="253" t="s">
        <v>41</v>
      </c>
      <c r="B16" s="254" t="s">
        <v>744</v>
      </c>
      <c r="C16" s="254" t="s">
        <v>1127</v>
      </c>
      <c r="D16" s="254" t="s">
        <v>760</v>
      </c>
      <c r="E16" s="254" t="s">
        <v>553</v>
      </c>
      <c r="F16" s="253">
        <v>15</v>
      </c>
      <c r="G16" s="237"/>
      <c r="H16" s="236">
        <f>Mat_Saúde_Nun_e_Gomes[[#This Row],[VALOR UNID]]*Mat_Saúde_Dados[[#This Row],[QUANT]]</f>
        <v>0</v>
      </c>
      <c r="J16" s="8">
        <f>Mat_Saúde_Nun_e_Gomes[[#This Row],[VALOR UNID]]</f>
        <v>0</v>
      </c>
      <c r="K16" s="8" t="e">
        <f>#REF!</f>
        <v>#REF!</v>
      </c>
      <c r="L16" s="8" t="e">
        <f>#REF!</f>
        <v>#REF!</v>
      </c>
    </row>
    <row r="17" spans="1:12" s="8" customFormat="1" ht="56.25" x14ac:dyDescent="0.25">
      <c r="A17" s="22" t="s">
        <v>43</v>
      </c>
      <c r="B17" s="21" t="s">
        <v>744</v>
      </c>
      <c r="C17" s="21" t="s">
        <v>1128</v>
      </c>
      <c r="D17" s="21" t="s">
        <v>761</v>
      </c>
      <c r="E17" s="21" t="s">
        <v>553</v>
      </c>
      <c r="F17" s="22">
        <v>15</v>
      </c>
      <c r="G17" s="176"/>
      <c r="H17" s="13">
        <f>Mat_Saúde_Nun_e_Gomes[[#This Row],[VALOR UNID]]*Mat_Saúde_Dados[[#This Row],[QUANT]]</f>
        <v>0</v>
      </c>
      <c r="J17" s="8">
        <f>Mat_Saúde_Nun_e_Gomes[[#This Row],[VALOR UNID]]</f>
        <v>0</v>
      </c>
      <c r="K17" s="8" t="e">
        <f>#REF!</f>
        <v>#REF!</v>
      </c>
      <c r="L17" s="8" t="e">
        <f>#REF!</f>
        <v>#REF!</v>
      </c>
    </row>
    <row r="18" spans="1:12" s="8" customFormat="1" ht="56.25" x14ac:dyDescent="0.25">
      <c r="A18" s="253" t="s">
        <v>46</v>
      </c>
      <c r="B18" s="254" t="s">
        <v>744</v>
      </c>
      <c r="C18" s="254" t="s">
        <v>1126</v>
      </c>
      <c r="D18" s="254" t="s">
        <v>761</v>
      </c>
      <c r="E18" s="254" t="s">
        <v>553</v>
      </c>
      <c r="F18" s="253">
        <v>15</v>
      </c>
      <c r="G18" s="237"/>
      <c r="H18" s="236">
        <f>Mat_Saúde_Nun_e_Gomes[[#This Row],[VALOR UNID]]*Mat_Saúde_Dados[[#This Row],[QUANT]]</f>
        <v>0</v>
      </c>
      <c r="J18" s="8">
        <f>Mat_Saúde_Nun_e_Gomes[[#This Row],[VALOR UNID]]</f>
        <v>0</v>
      </c>
      <c r="K18" s="8" t="e">
        <f>#REF!</f>
        <v>#REF!</v>
      </c>
      <c r="L18" s="8" t="e">
        <f>#REF!</f>
        <v>#REF!</v>
      </c>
    </row>
    <row r="19" spans="1:12" s="8" customFormat="1" ht="225" x14ac:dyDescent="0.25">
      <c r="A19" s="22" t="s">
        <v>49</v>
      </c>
      <c r="B19" s="21" t="s">
        <v>744</v>
      </c>
      <c r="C19" s="21" t="s">
        <v>762</v>
      </c>
      <c r="D19" s="21" t="s">
        <v>763</v>
      </c>
      <c r="E19" s="21" t="s">
        <v>553</v>
      </c>
      <c r="F19" s="22">
        <v>15</v>
      </c>
      <c r="G19" s="176"/>
      <c r="H19" s="13">
        <f>Mat_Saúde_Nun_e_Gomes[[#This Row],[VALOR UNID]]*Mat_Saúde_Dados[[#This Row],[QUANT]]</f>
        <v>0</v>
      </c>
      <c r="J19" s="8">
        <f>Mat_Saúde_Nun_e_Gomes[[#This Row],[VALOR UNID]]</f>
        <v>0</v>
      </c>
      <c r="K19" s="8" t="e">
        <f>#REF!</f>
        <v>#REF!</v>
      </c>
      <c r="L19" s="8" t="e">
        <f>#REF!</f>
        <v>#REF!</v>
      </c>
    </row>
    <row r="20" spans="1:12" s="8" customFormat="1" ht="22.5" x14ac:dyDescent="0.25">
      <c r="A20" s="253" t="s">
        <v>53</v>
      </c>
      <c r="B20" s="254" t="s">
        <v>744</v>
      </c>
      <c r="C20" s="254" t="s">
        <v>764</v>
      </c>
      <c r="D20" s="254" t="s">
        <v>660</v>
      </c>
      <c r="E20" s="254" t="s">
        <v>553</v>
      </c>
      <c r="F20" s="253">
        <v>15</v>
      </c>
      <c r="G20" s="237"/>
      <c r="H20" s="236">
        <f>Mat_Saúde_Nun_e_Gomes[[#This Row],[VALOR UNID]]*Mat_Saúde_Dados[[#This Row],[QUANT]]</f>
        <v>0</v>
      </c>
      <c r="J20" s="8">
        <f>Mat_Saúde_Nun_e_Gomes[[#This Row],[VALOR UNID]]</f>
        <v>0</v>
      </c>
      <c r="K20" s="8" t="e">
        <f>#REF!</f>
        <v>#REF!</v>
      </c>
      <c r="L20" s="8" t="e">
        <f>#REF!</f>
        <v>#REF!</v>
      </c>
    </row>
    <row r="21" spans="1:12" s="8" customFormat="1" x14ac:dyDescent="0.25">
      <c r="A21" s="22" t="s">
        <v>57</v>
      </c>
      <c r="B21" s="21" t="s">
        <v>744</v>
      </c>
      <c r="C21" s="21" t="s">
        <v>765</v>
      </c>
      <c r="D21" s="21"/>
      <c r="E21" s="21" t="s">
        <v>553</v>
      </c>
      <c r="F21" s="22">
        <v>1</v>
      </c>
      <c r="G21" s="176"/>
      <c r="H21" s="13">
        <f>Mat_Saúde_Nun_e_Gomes[[#This Row],[VALOR UNID]]*Mat_Saúde_Dados[[#This Row],[QUANT]]</f>
        <v>0</v>
      </c>
      <c r="J21" s="8">
        <f>Mat_Saúde_Nun_e_Gomes[[#This Row],[VALOR UNID]]</f>
        <v>0</v>
      </c>
      <c r="K21" s="8" t="e">
        <f>#REF!</f>
        <v>#REF!</v>
      </c>
      <c r="L21" s="8" t="e">
        <f>#REF!</f>
        <v>#REF!</v>
      </c>
    </row>
    <row r="22" spans="1:12" s="8" customFormat="1" x14ac:dyDescent="0.25">
      <c r="A22" s="253" t="s">
        <v>59</v>
      </c>
      <c r="B22" s="254" t="s">
        <v>744</v>
      </c>
      <c r="C22" s="254" t="s">
        <v>766</v>
      </c>
      <c r="D22" s="254" t="s">
        <v>749</v>
      </c>
      <c r="E22" s="254" t="s">
        <v>553</v>
      </c>
      <c r="F22" s="253">
        <v>11</v>
      </c>
      <c r="G22" s="237"/>
      <c r="H22" s="236">
        <f>Mat_Saúde_Nun_e_Gomes[[#This Row],[VALOR UNID]]*Mat_Saúde_Dados[[#This Row],[QUANT]]</f>
        <v>0</v>
      </c>
      <c r="J22" s="8">
        <f>Mat_Saúde_Nun_e_Gomes[[#This Row],[VALOR UNID]]</f>
        <v>0</v>
      </c>
      <c r="K22" s="8" t="e">
        <f>#REF!</f>
        <v>#REF!</v>
      </c>
      <c r="L22" s="8" t="e">
        <f>#REF!</f>
        <v>#REF!</v>
      </c>
    </row>
    <row r="23" spans="1:12" s="8" customFormat="1" ht="22.5" x14ac:dyDescent="0.25">
      <c r="A23" s="22" t="s">
        <v>62</v>
      </c>
      <c r="B23" s="21" t="s">
        <v>744</v>
      </c>
      <c r="C23" s="21" t="s">
        <v>767</v>
      </c>
      <c r="D23" s="21" t="s">
        <v>543</v>
      </c>
      <c r="E23" s="21" t="s">
        <v>553</v>
      </c>
      <c r="F23" s="22">
        <v>30</v>
      </c>
      <c r="G23" s="176"/>
      <c r="H23" s="13">
        <f>Mat_Saúde_Nun_e_Gomes[[#This Row],[VALOR UNID]]*Mat_Saúde_Dados[[#This Row],[QUANT]]</f>
        <v>0</v>
      </c>
      <c r="J23" s="8">
        <f>Mat_Saúde_Nun_e_Gomes[[#This Row],[VALOR UNID]]</f>
        <v>0</v>
      </c>
      <c r="K23" s="8" t="e">
        <f>#REF!</f>
        <v>#REF!</v>
      </c>
      <c r="L23" s="8" t="e">
        <f>#REF!</f>
        <v>#REF!</v>
      </c>
    </row>
    <row r="24" spans="1:12" s="8" customFormat="1" ht="22.5" x14ac:dyDescent="0.25">
      <c r="A24" s="253" t="s">
        <v>65</v>
      </c>
      <c r="B24" s="254" t="s">
        <v>744</v>
      </c>
      <c r="C24" s="254" t="s">
        <v>768</v>
      </c>
      <c r="D24" s="254" t="s">
        <v>543</v>
      </c>
      <c r="E24" s="254" t="s">
        <v>553</v>
      </c>
      <c r="F24" s="253">
        <v>30</v>
      </c>
      <c r="G24" s="237"/>
      <c r="H24" s="236">
        <f>Mat_Saúde_Nun_e_Gomes[[#This Row],[VALOR UNID]]*Mat_Saúde_Dados[[#This Row],[QUANT]]</f>
        <v>0</v>
      </c>
      <c r="J24" s="8">
        <f>Mat_Saúde_Nun_e_Gomes[[#This Row],[VALOR UNID]]</f>
        <v>0</v>
      </c>
      <c r="K24" s="8" t="e">
        <f>#REF!</f>
        <v>#REF!</v>
      </c>
      <c r="L24" s="8" t="e">
        <f>#REF!</f>
        <v>#REF!</v>
      </c>
    </row>
    <row r="25" spans="1:12" s="8" customFormat="1" ht="22.5" x14ac:dyDescent="0.25">
      <c r="A25" s="22" t="s">
        <v>67</v>
      </c>
      <c r="B25" s="21" t="s">
        <v>744</v>
      </c>
      <c r="C25" s="21" t="s">
        <v>769</v>
      </c>
      <c r="D25" s="21" t="s">
        <v>749</v>
      </c>
      <c r="E25" s="21" t="s">
        <v>553</v>
      </c>
      <c r="F25" s="22">
        <v>8</v>
      </c>
      <c r="G25" s="176"/>
      <c r="H25" s="13">
        <f>Mat_Saúde_Nun_e_Gomes[[#This Row],[VALOR UNID]]*Mat_Saúde_Dados[[#This Row],[QUANT]]</f>
        <v>0</v>
      </c>
      <c r="J25" s="8">
        <f>Mat_Saúde_Nun_e_Gomes[[#This Row],[VALOR UNID]]</f>
        <v>0</v>
      </c>
      <c r="K25" s="8" t="e">
        <f>#REF!</f>
        <v>#REF!</v>
      </c>
      <c r="L25" s="8" t="e">
        <f>#REF!</f>
        <v>#REF!</v>
      </c>
    </row>
    <row r="26" spans="1:12" s="8" customFormat="1" ht="22.5" x14ac:dyDescent="0.25">
      <c r="A26" s="253" t="s">
        <v>70</v>
      </c>
      <c r="B26" s="254" t="s">
        <v>744</v>
      </c>
      <c r="C26" s="254" t="s">
        <v>770</v>
      </c>
      <c r="D26" s="254" t="s">
        <v>749</v>
      </c>
      <c r="E26" s="254" t="s">
        <v>553</v>
      </c>
      <c r="F26" s="253">
        <v>2</v>
      </c>
      <c r="G26" s="237"/>
      <c r="H26" s="236">
        <f>Mat_Saúde_Nun_e_Gomes[[#This Row],[VALOR UNID]]*Mat_Saúde_Dados[[#This Row],[QUANT]]</f>
        <v>0</v>
      </c>
      <c r="J26" s="8">
        <f>Mat_Saúde_Nun_e_Gomes[[#This Row],[VALOR UNID]]</f>
        <v>0</v>
      </c>
      <c r="K26" s="8" t="e">
        <f>#REF!</f>
        <v>#REF!</v>
      </c>
      <c r="L26" s="8" t="e">
        <f>#REF!</f>
        <v>#REF!</v>
      </c>
    </row>
    <row r="27" spans="1:12" s="8" customFormat="1" x14ac:dyDescent="0.25">
      <c r="A27" s="22" t="s">
        <v>73</v>
      </c>
      <c r="B27" s="21" t="s">
        <v>744</v>
      </c>
      <c r="C27" s="21" t="s">
        <v>771</v>
      </c>
      <c r="D27" s="21" t="s">
        <v>543</v>
      </c>
      <c r="E27" s="21" t="s">
        <v>553</v>
      </c>
      <c r="F27" s="22">
        <v>15</v>
      </c>
      <c r="G27" s="176"/>
      <c r="H27" s="13">
        <f>Mat_Saúde_Nun_e_Gomes[[#This Row],[VALOR UNID]]*Mat_Saúde_Dados[[#This Row],[QUANT]]</f>
        <v>0</v>
      </c>
      <c r="J27" s="8">
        <f>Mat_Saúde_Nun_e_Gomes[[#This Row],[VALOR UNID]]</f>
        <v>0</v>
      </c>
      <c r="K27" s="8" t="e">
        <f>#REF!</f>
        <v>#REF!</v>
      </c>
      <c r="L27" s="8" t="e">
        <f>#REF!</f>
        <v>#REF!</v>
      </c>
    </row>
    <row r="28" spans="1:12" s="8" customFormat="1" x14ac:dyDescent="0.25">
      <c r="A28" s="253" t="s">
        <v>75</v>
      </c>
      <c r="B28" s="254" t="s">
        <v>744</v>
      </c>
      <c r="C28" s="254" t="s">
        <v>772</v>
      </c>
      <c r="D28" s="254" t="s">
        <v>543</v>
      </c>
      <c r="E28" s="254" t="s">
        <v>553</v>
      </c>
      <c r="F28" s="253">
        <v>15</v>
      </c>
      <c r="G28" s="237"/>
      <c r="H28" s="236">
        <f>Mat_Saúde_Nun_e_Gomes[[#This Row],[VALOR UNID]]*Mat_Saúde_Dados[[#This Row],[QUANT]]</f>
        <v>0</v>
      </c>
      <c r="J28" s="8">
        <f>Mat_Saúde_Nun_e_Gomes[[#This Row],[VALOR UNID]]</f>
        <v>0</v>
      </c>
      <c r="K28" s="8" t="e">
        <f>#REF!</f>
        <v>#REF!</v>
      </c>
      <c r="L28" s="8" t="e">
        <f>#REF!</f>
        <v>#REF!</v>
      </c>
    </row>
    <row r="29" spans="1:12" s="8" customFormat="1" x14ac:dyDescent="0.25">
      <c r="A29" s="22" t="s">
        <v>79</v>
      </c>
      <c r="B29" s="21" t="s">
        <v>744</v>
      </c>
      <c r="C29" s="21" t="s">
        <v>773</v>
      </c>
      <c r="D29" s="21" t="s">
        <v>543</v>
      </c>
      <c r="E29" s="21" t="s">
        <v>553</v>
      </c>
      <c r="F29" s="22">
        <v>15</v>
      </c>
      <c r="G29" s="176"/>
      <c r="H29" s="13">
        <f>Mat_Saúde_Nun_e_Gomes[[#This Row],[VALOR UNID]]*Mat_Saúde_Dados[[#This Row],[QUANT]]</f>
        <v>0</v>
      </c>
      <c r="J29" s="8">
        <f>Mat_Saúde_Nun_e_Gomes[[#This Row],[VALOR UNID]]</f>
        <v>0</v>
      </c>
      <c r="K29" s="8" t="e">
        <f>#REF!</f>
        <v>#REF!</v>
      </c>
      <c r="L29" s="8" t="e">
        <f>#REF!</f>
        <v>#REF!</v>
      </c>
    </row>
    <row r="30" spans="1:12" s="8" customFormat="1" ht="22.5" x14ac:dyDescent="0.25">
      <c r="A30" s="253" t="s">
        <v>82</v>
      </c>
      <c r="B30" s="254" t="s">
        <v>744</v>
      </c>
      <c r="C30" s="254" t="s">
        <v>774</v>
      </c>
      <c r="D30" s="254" t="s">
        <v>543</v>
      </c>
      <c r="E30" s="254" t="s">
        <v>553</v>
      </c>
      <c r="F30" s="253">
        <v>6</v>
      </c>
      <c r="G30" s="237"/>
      <c r="H30" s="236">
        <f>Mat_Saúde_Nun_e_Gomes[[#This Row],[VALOR UNID]]*Mat_Saúde_Dados[[#This Row],[QUANT]]</f>
        <v>0</v>
      </c>
      <c r="J30" s="8">
        <f>Mat_Saúde_Nun_e_Gomes[[#This Row],[VALOR UNID]]</f>
        <v>0</v>
      </c>
      <c r="K30" s="8" t="e">
        <f>#REF!</f>
        <v>#REF!</v>
      </c>
      <c r="L30" s="8" t="e">
        <f>#REF!</f>
        <v>#REF!</v>
      </c>
    </row>
    <row r="31" spans="1:12" s="8" customFormat="1" ht="33.75" x14ac:dyDescent="0.25">
      <c r="A31" s="22" t="s">
        <v>86</v>
      </c>
      <c r="B31" s="21" t="s">
        <v>744</v>
      </c>
      <c r="C31" s="21" t="s">
        <v>775</v>
      </c>
      <c r="D31" s="21" t="s">
        <v>776</v>
      </c>
      <c r="E31" s="21" t="s">
        <v>553</v>
      </c>
      <c r="F31" s="22">
        <v>15</v>
      </c>
      <c r="G31" s="176"/>
      <c r="H31" s="13">
        <f>Mat_Saúde_Nun_e_Gomes[[#This Row],[VALOR UNID]]*Mat_Saúde_Dados[[#This Row],[QUANT]]</f>
        <v>0</v>
      </c>
      <c r="J31" s="8">
        <f>Mat_Saúde_Nun_e_Gomes[[#This Row],[VALOR UNID]]</f>
        <v>0</v>
      </c>
      <c r="K31" s="8" t="e">
        <f>#REF!</f>
        <v>#REF!</v>
      </c>
      <c r="L31" s="8" t="e">
        <f>#REF!</f>
        <v>#REF!</v>
      </c>
    </row>
    <row r="32" spans="1:12" s="8" customFormat="1" ht="33.75" x14ac:dyDescent="0.25">
      <c r="A32" s="253" t="s">
        <v>88</v>
      </c>
      <c r="B32" s="254" t="s">
        <v>744</v>
      </c>
      <c r="C32" s="254" t="s">
        <v>777</v>
      </c>
      <c r="D32" s="254" t="s">
        <v>776</v>
      </c>
      <c r="E32" s="254" t="s">
        <v>553</v>
      </c>
      <c r="F32" s="253">
        <v>2</v>
      </c>
      <c r="G32" s="237"/>
      <c r="H32" s="236">
        <f>Mat_Saúde_Nun_e_Gomes[[#This Row],[VALOR UNID]]*Mat_Saúde_Dados[[#This Row],[QUANT]]</f>
        <v>0</v>
      </c>
      <c r="J32" s="8">
        <f>Mat_Saúde_Nun_e_Gomes[[#This Row],[VALOR UNID]]</f>
        <v>0</v>
      </c>
      <c r="K32" s="8" t="e">
        <f>#REF!</f>
        <v>#REF!</v>
      </c>
      <c r="L32" s="8" t="e">
        <f>#REF!</f>
        <v>#REF!</v>
      </c>
    </row>
    <row r="33" spans="1:12" s="8" customFormat="1" ht="22.5" x14ac:dyDescent="0.25">
      <c r="A33" s="22" t="s">
        <v>91</v>
      </c>
      <c r="B33" s="21" t="s">
        <v>744</v>
      </c>
      <c r="C33" s="21" t="s">
        <v>778</v>
      </c>
      <c r="D33" s="21" t="s">
        <v>779</v>
      </c>
      <c r="E33" s="21" t="s">
        <v>553</v>
      </c>
      <c r="F33" s="22">
        <v>7</v>
      </c>
      <c r="G33" s="176"/>
      <c r="H33" s="13">
        <f>Mat_Saúde_Nun_e_Gomes[[#This Row],[VALOR UNID]]*Mat_Saúde_Dados[[#This Row],[QUANT]]</f>
        <v>0</v>
      </c>
      <c r="J33" s="8">
        <f>Mat_Saúde_Nun_e_Gomes[[#This Row],[VALOR UNID]]</f>
        <v>0</v>
      </c>
      <c r="K33" s="8" t="e">
        <f>#REF!</f>
        <v>#REF!</v>
      </c>
      <c r="L33" s="8" t="e">
        <f>#REF!</f>
        <v>#REF!</v>
      </c>
    </row>
    <row r="34" spans="1:12" s="8" customFormat="1" x14ac:dyDescent="0.25">
      <c r="A34" s="253" t="s">
        <v>94</v>
      </c>
      <c r="B34" s="254" t="s">
        <v>744</v>
      </c>
      <c r="C34" s="254" t="s">
        <v>780</v>
      </c>
      <c r="D34" s="254" t="s">
        <v>543</v>
      </c>
      <c r="E34" s="254" t="s">
        <v>553</v>
      </c>
      <c r="F34" s="253">
        <v>15</v>
      </c>
      <c r="G34" s="237"/>
      <c r="H34" s="236">
        <f>Mat_Saúde_Nun_e_Gomes[[#This Row],[VALOR UNID]]*Mat_Saúde_Dados[[#This Row],[QUANT]]</f>
        <v>0</v>
      </c>
      <c r="J34" s="8">
        <f>Mat_Saúde_Nun_e_Gomes[[#This Row],[VALOR UNID]]</f>
        <v>0</v>
      </c>
      <c r="K34" s="8" t="e">
        <f>#REF!</f>
        <v>#REF!</v>
      </c>
      <c r="L34" s="8" t="e">
        <f>#REF!</f>
        <v>#REF!</v>
      </c>
    </row>
    <row r="35" spans="1:12" s="8" customFormat="1" ht="22.5" x14ac:dyDescent="0.25">
      <c r="A35" s="22" t="s">
        <v>97</v>
      </c>
      <c r="B35" s="21" t="s">
        <v>744</v>
      </c>
      <c r="C35" s="21" t="s">
        <v>781</v>
      </c>
      <c r="D35" s="21" t="s">
        <v>782</v>
      </c>
      <c r="E35" s="21" t="s">
        <v>553</v>
      </c>
      <c r="F35" s="22">
        <v>15</v>
      </c>
      <c r="G35" s="176"/>
      <c r="H35" s="13">
        <f>Mat_Saúde_Nun_e_Gomes[[#This Row],[VALOR UNID]]*Mat_Saúde_Dados[[#This Row],[QUANT]]</f>
        <v>0</v>
      </c>
      <c r="J35" s="8">
        <f>Mat_Saúde_Nun_e_Gomes[[#This Row],[VALOR UNID]]</f>
        <v>0</v>
      </c>
      <c r="K35" s="8" t="e">
        <f>#REF!</f>
        <v>#REF!</v>
      </c>
      <c r="L35" s="8" t="e">
        <f>#REF!</f>
        <v>#REF!</v>
      </c>
    </row>
    <row r="36" spans="1:12" s="8" customFormat="1" ht="22.5" x14ac:dyDescent="0.25">
      <c r="A36" s="253" t="s">
        <v>100</v>
      </c>
      <c r="B36" s="254" t="s">
        <v>744</v>
      </c>
      <c r="C36" s="254" t="s">
        <v>781</v>
      </c>
      <c r="D36" s="254" t="s">
        <v>622</v>
      </c>
      <c r="E36" s="254" t="s">
        <v>553</v>
      </c>
      <c r="F36" s="253">
        <v>15</v>
      </c>
      <c r="G36" s="237"/>
      <c r="H36" s="236">
        <f>Mat_Saúde_Nun_e_Gomes[[#This Row],[VALOR UNID]]*Mat_Saúde_Dados[[#This Row],[QUANT]]</f>
        <v>0</v>
      </c>
      <c r="J36" s="8">
        <f>Mat_Saúde_Nun_e_Gomes[[#This Row],[VALOR UNID]]</f>
        <v>0</v>
      </c>
      <c r="K36" s="8" t="e">
        <f>#REF!</f>
        <v>#REF!</v>
      </c>
      <c r="L36" s="8" t="e">
        <f>#REF!</f>
        <v>#REF!</v>
      </c>
    </row>
    <row r="37" spans="1:12" s="8" customFormat="1" ht="22.5" x14ac:dyDescent="0.25">
      <c r="A37" s="22" t="s">
        <v>103</v>
      </c>
      <c r="B37" s="21" t="s">
        <v>744</v>
      </c>
      <c r="C37" s="21" t="s">
        <v>783</v>
      </c>
      <c r="D37" s="21" t="s">
        <v>784</v>
      </c>
      <c r="E37" s="21" t="s">
        <v>553</v>
      </c>
      <c r="F37" s="22">
        <v>15</v>
      </c>
      <c r="G37" s="176"/>
      <c r="H37" s="13">
        <f>Mat_Saúde_Nun_e_Gomes[[#This Row],[VALOR UNID]]*Mat_Saúde_Dados[[#This Row],[QUANT]]</f>
        <v>0</v>
      </c>
      <c r="J37" s="8">
        <f>Mat_Saúde_Nun_e_Gomes[[#This Row],[VALOR UNID]]</f>
        <v>0</v>
      </c>
      <c r="K37" s="8" t="e">
        <f>#REF!</f>
        <v>#REF!</v>
      </c>
      <c r="L37" s="8" t="e">
        <f>#REF!</f>
        <v>#REF!</v>
      </c>
    </row>
    <row r="38" spans="1:12" s="8" customFormat="1" ht="22.5" x14ac:dyDescent="0.25">
      <c r="A38" s="253" t="s">
        <v>105</v>
      </c>
      <c r="B38" s="254" t="s">
        <v>744</v>
      </c>
      <c r="C38" s="254" t="s">
        <v>783</v>
      </c>
      <c r="D38" s="254" t="s">
        <v>622</v>
      </c>
      <c r="E38" s="254" t="s">
        <v>553</v>
      </c>
      <c r="F38" s="253">
        <v>15</v>
      </c>
      <c r="G38" s="237"/>
      <c r="H38" s="236">
        <f>Mat_Saúde_Nun_e_Gomes[[#This Row],[VALOR UNID]]*Mat_Saúde_Dados[[#This Row],[QUANT]]</f>
        <v>0</v>
      </c>
      <c r="J38" s="8">
        <f>Mat_Saúde_Nun_e_Gomes[[#This Row],[VALOR UNID]]</f>
        <v>0</v>
      </c>
      <c r="K38" s="8" t="e">
        <f>#REF!</f>
        <v>#REF!</v>
      </c>
      <c r="L38" s="8" t="e">
        <f>#REF!</f>
        <v>#REF!</v>
      </c>
    </row>
    <row r="39" spans="1:12" s="8" customFormat="1" ht="45" x14ac:dyDescent="0.25">
      <c r="A39" s="22" t="s">
        <v>106</v>
      </c>
      <c r="B39" s="21" t="s">
        <v>744</v>
      </c>
      <c r="C39" s="21" t="s">
        <v>785</v>
      </c>
      <c r="D39" s="21" t="s">
        <v>786</v>
      </c>
      <c r="E39" s="21" t="s">
        <v>553</v>
      </c>
      <c r="F39" s="22">
        <v>15</v>
      </c>
      <c r="G39" s="176"/>
      <c r="H39" s="13">
        <f>Mat_Saúde_Nun_e_Gomes[[#This Row],[VALOR UNID]]*Mat_Saúde_Dados[[#This Row],[QUANT]]</f>
        <v>0</v>
      </c>
      <c r="J39" s="8">
        <f>Mat_Saúde_Nun_e_Gomes[[#This Row],[VALOR UNID]]</f>
        <v>0</v>
      </c>
      <c r="K39" s="8" t="e">
        <f>#REF!</f>
        <v>#REF!</v>
      </c>
      <c r="L39" s="8" t="e">
        <f>#REF!</f>
        <v>#REF!</v>
      </c>
    </row>
    <row r="40" spans="1:12" s="8" customFormat="1" x14ac:dyDescent="0.25">
      <c r="A40" s="253" t="s">
        <v>108</v>
      </c>
      <c r="B40" s="254" t="s">
        <v>744</v>
      </c>
      <c r="C40" s="254" t="s">
        <v>787</v>
      </c>
      <c r="D40" s="254" t="s">
        <v>543</v>
      </c>
      <c r="E40" s="254" t="s">
        <v>553</v>
      </c>
      <c r="F40" s="253">
        <v>15</v>
      </c>
      <c r="G40" s="237"/>
      <c r="H40" s="236">
        <f>Mat_Saúde_Nun_e_Gomes[[#This Row],[VALOR UNID]]*Mat_Saúde_Dados[[#This Row],[QUANT]]</f>
        <v>0</v>
      </c>
      <c r="J40" s="8">
        <f>Mat_Saúde_Nun_e_Gomes[[#This Row],[VALOR UNID]]</f>
        <v>0</v>
      </c>
      <c r="K40" s="8" t="e">
        <f>#REF!</f>
        <v>#REF!</v>
      </c>
      <c r="L40" s="8" t="e">
        <f>#REF!</f>
        <v>#REF!</v>
      </c>
    </row>
    <row r="41" spans="1:12" s="8" customFormat="1" x14ac:dyDescent="0.25">
      <c r="A41" s="22" t="s">
        <v>110</v>
      </c>
      <c r="B41" s="21" t="s">
        <v>744</v>
      </c>
      <c r="C41" s="21" t="s">
        <v>788</v>
      </c>
      <c r="D41" s="21" t="s">
        <v>543</v>
      </c>
      <c r="E41" s="21" t="s">
        <v>553</v>
      </c>
      <c r="F41" s="22">
        <v>15</v>
      </c>
      <c r="G41" s="176"/>
      <c r="H41" s="13">
        <f>Mat_Saúde_Nun_e_Gomes[[#This Row],[VALOR UNID]]*Mat_Saúde_Dados[[#This Row],[QUANT]]</f>
        <v>0</v>
      </c>
      <c r="J41" s="8">
        <f>Mat_Saúde_Nun_e_Gomes[[#This Row],[VALOR UNID]]</f>
        <v>0</v>
      </c>
      <c r="K41" s="8" t="e">
        <f>#REF!</f>
        <v>#REF!</v>
      </c>
      <c r="L41" s="8" t="e">
        <f>#REF!</f>
        <v>#REF!</v>
      </c>
    </row>
    <row r="42" spans="1:12" s="8" customFormat="1" ht="33.75" x14ac:dyDescent="0.25">
      <c r="A42" s="253" t="s">
        <v>113</v>
      </c>
      <c r="B42" s="254" t="s">
        <v>744</v>
      </c>
      <c r="C42" s="254" t="s">
        <v>789</v>
      </c>
      <c r="D42" s="254" t="s">
        <v>790</v>
      </c>
      <c r="E42" s="254" t="s">
        <v>553</v>
      </c>
      <c r="F42" s="253">
        <v>15</v>
      </c>
      <c r="G42" s="237"/>
      <c r="H42" s="236">
        <f>Mat_Saúde_Nun_e_Gomes[[#This Row],[VALOR UNID]]*Mat_Saúde_Dados[[#This Row],[QUANT]]</f>
        <v>0</v>
      </c>
      <c r="J42" s="8">
        <f>Mat_Saúde_Nun_e_Gomes[[#This Row],[VALOR UNID]]</f>
        <v>0</v>
      </c>
      <c r="K42" s="8" t="e">
        <f>#REF!</f>
        <v>#REF!</v>
      </c>
      <c r="L42" s="8" t="e">
        <f>#REF!</f>
        <v>#REF!</v>
      </c>
    </row>
    <row r="43" spans="1:12" s="8" customFormat="1" ht="22.5" x14ac:dyDescent="0.25">
      <c r="A43" s="22" t="s">
        <v>114</v>
      </c>
      <c r="B43" s="21" t="s">
        <v>744</v>
      </c>
      <c r="C43" s="21" t="s">
        <v>791</v>
      </c>
      <c r="D43" s="21" t="s">
        <v>660</v>
      </c>
      <c r="E43" s="21" t="s">
        <v>553</v>
      </c>
      <c r="F43" s="22">
        <v>15</v>
      </c>
      <c r="G43" s="176"/>
      <c r="H43" s="13">
        <f>Mat_Saúde_Nun_e_Gomes[[#This Row],[VALOR UNID]]*Mat_Saúde_Dados[[#This Row],[QUANT]]</f>
        <v>0</v>
      </c>
      <c r="J43" s="8">
        <f>Mat_Saúde_Nun_e_Gomes[[#This Row],[VALOR UNID]]</f>
        <v>0</v>
      </c>
      <c r="K43" s="8" t="e">
        <f>#REF!</f>
        <v>#REF!</v>
      </c>
      <c r="L43" s="8" t="e">
        <f>#REF!</f>
        <v>#REF!</v>
      </c>
    </row>
    <row r="44" spans="1:12" s="8" customFormat="1" x14ac:dyDescent="0.25">
      <c r="A44" s="253" t="s">
        <v>117</v>
      </c>
      <c r="B44" s="254" t="s">
        <v>744</v>
      </c>
      <c r="C44" s="254" t="s">
        <v>792</v>
      </c>
      <c r="D44" s="254" t="s">
        <v>793</v>
      </c>
      <c r="E44" s="254" t="s">
        <v>553</v>
      </c>
      <c r="F44" s="253">
        <v>15</v>
      </c>
      <c r="G44" s="237"/>
      <c r="H44" s="236">
        <f>Mat_Saúde_Nun_e_Gomes[[#This Row],[VALOR UNID]]*Mat_Saúde_Dados[[#This Row],[QUANT]]</f>
        <v>0</v>
      </c>
      <c r="J44" s="8">
        <f>Mat_Saúde_Nun_e_Gomes[[#This Row],[VALOR UNID]]</f>
        <v>0</v>
      </c>
      <c r="K44" s="8" t="e">
        <f>#REF!</f>
        <v>#REF!</v>
      </c>
      <c r="L44" s="8" t="e">
        <f>#REF!</f>
        <v>#REF!</v>
      </c>
    </row>
    <row r="45" spans="1:12" s="8" customFormat="1" ht="33.75" x14ac:dyDescent="0.25">
      <c r="A45" s="22" t="s">
        <v>119</v>
      </c>
      <c r="B45" s="21" t="s">
        <v>744</v>
      </c>
      <c r="C45" s="21" t="s">
        <v>794</v>
      </c>
      <c r="D45" s="21" t="s">
        <v>660</v>
      </c>
      <c r="E45" s="21" t="s">
        <v>553</v>
      </c>
      <c r="F45" s="22">
        <v>15</v>
      </c>
      <c r="G45" s="176"/>
      <c r="H45" s="13">
        <f>Mat_Saúde_Nun_e_Gomes[[#This Row],[VALOR UNID]]*Mat_Saúde_Dados[[#This Row],[QUANT]]</f>
        <v>0</v>
      </c>
      <c r="J45" s="8">
        <f>Mat_Saúde_Nun_e_Gomes[[#This Row],[VALOR UNID]]</f>
        <v>0</v>
      </c>
      <c r="K45" s="8" t="e">
        <f>#REF!</f>
        <v>#REF!</v>
      </c>
      <c r="L45" s="8" t="e">
        <f>#REF!</f>
        <v>#REF!</v>
      </c>
    </row>
    <row r="46" spans="1:12" s="8" customFormat="1" x14ac:dyDescent="0.25">
      <c r="A46" s="22"/>
      <c r="B46" s="21"/>
      <c r="C46" s="21"/>
      <c r="D46" s="21"/>
      <c r="E46" s="21"/>
      <c r="F46" s="22">
        <f t="shared" ref="F46" si="0">SUBTOTAL(109,F4:F45)</f>
        <v>540</v>
      </c>
      <c r="G46" s="14"/>
      <c r="H46" s="14">
        <f>SUBTOTAL(109,Mat_Saúde_Nun_e_Gomes[VALOR TOTAL])</f>
        <v>0</v>
      </c>
    </row>
    <row r="47" spans="1:12" s="8" customFormat="1" x14ac:dyDescent="0.25">
      <c r="A47" s="3"/>
      <c r="B47" s="10"/>
      <c r="C47" s="10"/>
      <c r="D47" s="10"/>
      <c r="E47" s="10"/>
      <c r="F47" s="10"/>
      <c r="G47" s="3"/>
      <c r="H47" s="3"/>
    </row>
    <row r="48" spans="1:12" s="8" customFormat="1" x14ac:dyDescent="0.25">
      <c r="A48" s="3"/>
      <c r="B48" s="10"/>
      <c r="C48" s="10"/>
      <c r="D48" s="10"/>
      <c r="E48" s="10"/>
      <c r="F48" s="10"/>
      <c r="G48" s="3"/>
      <c r="H48" s="3"/>
    </row>
    <row r="49" spans="1:8" s="8" customFormat="1" x14ac:dyDescent="0.25">
      <c r="A49" s="3"/>
      <c r="B49" s="10"/>
      <c r="C49" s="10"/>
      <c r="D49" s="10"/>
      <c r="E49" s="10"/>
      <c r="F49" s="10"/>
      <c r="G49" s="3"/>
      <c r="H49" s="3"/>
    </row>
    <row r="50" spans="1:8" s="8" customFormat="1" x14ac:dyDescent="0.25">
      <c r="A50" s="3"/>
      <c r="B50" s="10"/>
      <c r="C50" s="10"/>
      <c r="D50" s="10"/>
      <c r="E50" s="10"/>
      <c r="F50" s="10"/>
      <c r="G50" s="3"/>
      <c r="H50" s="3"/>
    </row>
    <row r="51" spans="1:8" s="8" customFormat="1" ht="11.25" customHeight="1" x14ac:dyDescent="0.25">
      <c r="A51" s="3"/>
      <c r="B51" s="10"/>
      <c r="C51" s="10"/>
      <c r="D51" s="10"/>
      <c r="E51" s="10"/>
      <c r="F51" s="3"/>
      <c r="G51" s="3"/>
      <c r="H51" s="3"/>
    </row>
    <row r="52" spans="1:8" s="8" customFormat="1" x14ac:dyDescent="0.25">
      <c r="A52" s="3"/>
      <c r="B52" s="10"/>
      <c r="C52" s="10"/>
      <c r="D52" s="10"/>
      <c r="E52" s="10"/>
      <c r="F52" s="3"/>
      <c r="G52" s="3"/>
      <c r="H52" s="3"/>
    </row>
    <row r="53" spans="1:8" s="8" customFormat="1" x14ac:dyDescent="0.25">
      <c r="A53" s="3"/>
      <c r="B53" s="10"/>
      <c r="C53" s="10"/>
      <c r="D53" s="10"/>
      <c r="E53" s="10"/>
      <c r="F53" s="3"/>
      <c r="G53" s="3"/>
      <c r="H53" s="3"/>
    </row>
    <row r="54" spans="1:8" s="8" customFormat="1" x14ac:dyDescent="0.25">
      <c r="A54" s="3"/>
      <c r="B54" s="10"/>
      <c r="C54" s="10"/>
      <c r="D54" s="10"/>
      <c r="E54" s="10"/>
      <c r="F54" s="3"/>
      <c r="G54" s="3"/>
      <c r="H54" s="3"/>
    </row>
    <row r="55" spans="1:8" s="8" customFormat="1" x14ac:dyDescent="0.25">
      <c r="A55" s="3"/>
      <c r="B55" s="10"/>
      <c r="C55" s="10"/>
      <c r="D55" s="10"/>
      <c r="E55" s="10"/>
      <c r="F55" s="3"/>
      <c r="G55" s="3"/>
      <c r="H55" s="3"/>
    </row>
    <row r="56" spans="1:8" s="8" customFormat="1" x14ac:dyDescent="0.25">
      <c r="A56" s="3"/>
      <c r="B56" s="10"/>
      <c r="C56" s="10"/>
      <c r="D56" s="10"/>
      <c r="E56" s="10"/>
      <c r="F56" s="3"/>
      <c r="G56" s="3"/>
      <c r="H56" s="3"/>
    </row>
    <row r="57" spans="1:8" s="8" customFormat="1" x14ac:dyDescent="0.25">
      <c r="A57" s="3"/>
      <c r="B57" s="10"/>
      <c r="C57" s="10"/>
      <c r="D57" s="10"/>
      <c r="E57" s="10"/>
      <c r="F57" s="3"/>
      <c r="G57" s="3"/>
      <c r="H57" s="3"/>
    </row>
    <row r="58" spans="1:8" s="8" customFormat="1" x14ac:dyDescent="0.25">
      <c r="A58" s="3"/>
      <c r="B58" s="10"/>
      <c r="C58" s="10"/>
      <c r="D58" s="10"/>
      <c r="E58" s="10"/>
      <c r="F58" s="3"/>
      <c r="G58" s="3"/>
      <c r="H58" s="3"/>
    </row>
    <row r="59" spans="1:8" s="8" customFormat="1" x14ac:dyDescent="0.25">
      <c r="A59" s="3"/>
      <c r="B59" s="10"/>
      <c r="C59" s="10"/>
      <c r="D59" s="10"/>
      <c r="E59" s="10"/>
      <c r="F59" s="3"/>
      <c r="G59" s="3"/>
      <c r="H59" s="3"/>
    </row>
    <row r="60" spans="1:8" s="8" customFormat="1" x14ac:dyDescent="0.25">
      <c r="A60" s="3"/>
      <c r="B60" s="10"/>
      <c r="C60" s="10"/>
      <c r="D60" s="10"/>
      <c r="E60" s="10"/>
      <c r="F60" s="3"/>
      <c r="G60" s="3"/>
      <c r="H60" s="3"/>
    </row>
    <row r="61" spans="1:8" s="8" customFormat="1" x14ac:dyDescent="0.25">
      <c r="A61" s="3"/>
      <c r="B61" s="10"/>
      <c r="C61" s="10"/>
      <c r="D61" s="10"/>
      <c r="E61" s="10"/>
      <c r="F61" s="3"/>
      <c r="G61" s="3"/>
      <c r="H61" s="3"/>
    </row>
    <row r="62" spans="1:8" s="8" customFormat="1" x14ac:dyDescent="0.25">
      <c r="A62" s="3"/>
      <c r="B62" s="10"/>
      <c r="C62" s="10"/>
      <c r="D62" s="10"/>
      <c r="E62" s="10"/>
      <c r="F62" s="3"/>
      <c r="G62" s="3"/>
      <c r="H62" s="3"/>
    </row>
    <row r="63" spans="1:8" s="8" customFormat="1" x14ac:dyDescent="0.25">
      <c r="A63" s="3"/>
      <c r="B63" s="10"/>
      <c r="C63" s="10"/>
      <c r="D63" s="10"/>
      <c r="E63" s="10"/>
      <c r="F63" s="3"/>
      <c r="G63" s="3"/>
      <c r="H63" s="3"/>
    </row>
    <row r="64" spans="1:8" s="8" customFormat="1" x14ac:dyDescent="0.25">
      <c r="A64" s="3"/>
      <c r="B64" s="10"/>
      <c r="C64" s="10"/>
      <c r="D64" s="10"/>
      <c r="E64" s="10"/>
      <c r="F64" s="3"/>
      <c r="G64" s="3"/>
      <c r="H64" s="3"/>
    </row>
    <row r="65" spans="1:8" s="8" customFormat="1" x14ac:dyDescent="0.25">
      <c r="A65" s="3"/>
      <c r="B65" s="10"/>
      <c r="C65" s="10"/>
      <c r="D65" s="10"/>
      <c r="E65" s="10"/>
      <c r="F65" s="3"/>
      <c r="G65" s="3"/>
      <c r="H65" s="3"/>
    </row>
    <row r="66" spans="1:8" s="8" customFormat="1" x14ac:dyDescent="0.25">
      <c r="A66" s="3"/>
      <c r="B66" s="10"/>
      <c r="C66" s="10"/>
      <c r="D66" s="10"/>
      <c r="E66" s="10"/>
      <c r="F66" s="3"/>
      <c r="G66" s="3"/>
      <c r="H66" s="3"/>
    </row>
    <row r="67" spans="1:8" s="8" customFormat="1" x14ac:dyDescent="0.25">
      <c r="A67" s="3"/>
      <c r="B67" s="10"/>
      <c r="C67" s="10"/>
      <c r="D67" s="10"/>
      <c r="E67" s="10"/>
      <c r="F67" s="3"/>
      <c r="G67" s="3"/>
      <c r="H67" s="3"/>
    </row>
    <row r="68" spans="1:8" s="8" customFormat="1" x14ac:dyDescent="0.25">
      <c r="A68" s="3"/>
      <c r="B68" s="10"/>
      <c r="C68" s="10"/>
      <c r="D68" s="10"/>
      <c r="E68" s="10"/>
      <c r="F68" s="3"/>
      <c r="G68" s="3"/>
      <c r="H68" s="3"/>
    </row>
    <row r="69" spans="1:8" s="8" customFormat="1" x14ac:dyDescent="0.25">
      <c r="A69" s="3"/>
      <c r="B69" s="10"/>
      <c r="C69" s="10"/>
      <c r="D69" s="10"/>
      <c r="E69" s="10"/>
      <c r="F69" s="3"/>
      <c r="G69" s="3"/>
      <c r="H69" s="3"/>
    </row>
    <row r="70" spans="1:8" s="8" customFormat="1" x14ac:dyDescent="0.25">
      <c r="A70" s="3"/>
      <c r="B70" s="10"/>
      <c r="C70" s="10"/>
      <c r="D70" s="10"/>
      <c r="E70" s="10"/>
      <c r="F70" s="3"/>
      <c r="G70" s="3"/>
      <c r="H70" s="3"/>
    </row>
    <row r="71" spans="1:8" s="8" customFormat="1" x14ac:dyDescent="0.25">
      <c r="A71" s="3"/>
      <c r="B71" s="10"/>
      <c r="C71" s="10"/>
      <c r="D71" s="10"/>
      <c r="E71" s="10"/>
      <c r="F71" s="3"/>
      <c r="G71" s="3"/>
      <c r="H71" s="3"/>
    </row>
    <row r="72" spans="1:8" s="8" customFormat="1" x14ac:dyDescent="0.25">
      <c r="A72" s="3"/>
      <c r="B72" s="10"/>
      <c r="C72" s="10"/>
      <c r="D72" s="10"/>
      <c r="E72" s="10"/>
      <c r="F72" s="3"/>
      <c r="G72" s="3"/>
      <c r="H72" s="3"/>
    </row>
    <row r="73" spans="1:8" s="8" customFormat="1" x14ac:dyDescent="0.25">
      <c r="A73" s="3"/>
      <c r="B73" s="10"/>
      <c r="C73" s="10"/>
      <c r="D73" s="10"/>
      <c r="E73" s="10"/>
      <c r="F73" s="3"/>
      <c r="G73" s="3"/>
      <c r="H73" s="3"/>
    </row>
    <row r="74" spans="1:8" s="8" customFormat="1" x14ac:dyDescent="0.25">
      <c r="A74" s="3"/>
      <c r="B74" s="10"/>
      <c r="C74" s="10"/>
      <c r="D74" s="10"/>
      <c r="E74" s="10"/>
      <c r="F74" s="3"/>
      <c r="G74" s="3"/>
      <c r="H74" s="3"/>
    </row>
    <row r="75" spans="1:8" s="8" customFormat="1" x14ac:dyDescent="0.25">
      <c r="A75" s="3"/>
      <c r="B75" s="10"/>
      <c r="C75" s="10"/>
      <c r="D75" s="10"/>
      <c r="E75" s="10"/>
      <c r="F75" s="3"/>
      <c r="G75" s="3"/>
      <c r="H75" s="3"/>
    </row>
    <row r="76" spans="1:8" s="8" customFormat="1" x14ac:dyDescent="0.25">
      <c r="A76" s="3"/>
      <c r="B76" s="10"/>
      <c r="C76" s="10"/>
      <c r="D76" s="10"/>
      <c r="E76" s="10"/>
      <c r="F76" s="3"/>
      <c r="G76" s="3"/>
      <c r="H76" s="3"/>
    </row>
    <row r="77" spans="1:8" s="8" customFormat="1" x14ac:dyDescent="0.25">
      <c r="A77" s="3"/>
      <c r="B77" s="10"/>
      <c r="C77" s="10"/>
      <c r="D77" s="10"/>
      <c r="E77" s="10"/>
      <c r="F77" s="3"/>
      <c r="G77" s="3"/>
      <c r="H77" s="3"/>
    </row>
    <row r="78" spans="1:8" s="8" customFormat="1" x14ac:dyDescent="0.25">
      <c r="A78" s="3"/>
      <c r="B78" s="10"/>
      <c r="C78" s="10"/>
      <c r="D78" s="10"/>
      <c r="E78" s="10"/>
      <c r="F78" s="3"/>
      <c r="G78" s="3"/>
      <c r="H78" s="3"/>
    </row>
    <row r="79" spans="1:8" s="8" customFormat="1" x14ac:dyDescent="0.25">
      <c r="A79" s="3"/>
      <c r="B79" s="10"/>
      <c r="C79" s="10"/>
      <c r="D79" s="10"/>
      <c r="E79" s="10"/>
      <c r="F79" s="3"/>
      <c r="G79" s="3"/>
      <c r="H79" s="3"/>
    </row>
    <row r="80" spans="1:8" s="8" customFormat="1" x14ac:dyDescent="0.25">
      <c r="A80" s="3"/>
      <c r="B80" s="10"/>
      <c r="C80" s="10"/>
      <c r="D80" s="10"/>
      <c r="E80" s="10"/>
      <c r="F80" s="3"/>
      <c r="G80" s="3"/>
      <c r="H80" s="3"/>
    </row>
    <row r="81" spans="1:8" s="8" customFormat="1" x14ac:dyDescent="0.25">
      <c r="A81" s="3"/>
      <c r="B81" s="10"/>
      <c r="C81" s="10"/>
      <c r="D81" s="10"/>
      <c r="E81" s="10"/>
      <c r="F81" s="3"/>
      <c r="G81" s="3"/>
      <c r="H81" s="3"/>
    </row>
    <row r="82" spans="1:8" s="8" customFormat="1" x14ac:dyDescent="0.25">
      <c r="A82" s="3"/>
      <c r="B82" s="10"/>
      <c r="C82" s="10"/>
      <c r="D82" s="10"/>
      <c r="E82" s="10"/>
      <c r="F82" s="3"/>
      <c r="G82" s="3"/>
      <c r="H82" s="3"/>
    </row>
    <row r="83" spans="1:8" s="8" customFormat="1" x14ac:dyDescent="0.25">
      <c r="A83" s="3"/>
      <c r="B83" s="10"/>
      <c r="C83" s="10"/>
      <c r="D83" s="10"/>
      <c r="E83" s="10"/>
      <c r="F83" s="3"/>
      <c r="G83" s="3"/>
      <c r="H83" s="3"/>
    </row>
    <row r="84" spans="1:8" s="8" customFormat="1" x14ac:dyDescent="0.25">
      <c r="A84" s="3"/>
      <c r="B84" s="10"/>
      <c r="C84" s="10"/>
      <c r="D84" s="10"/>
      <c r="E84" s="10"/>
      <c r="F84" s="3"/>
      <c r="G84" s="3"/>
      <c r="H84" s="3"/>
    </row>
    <row r="85" spans="1:8" s="8" customFormat="1" x14ac:dyDescent="0.25">
      <c r="A85" s="3"/>
      <c r="B85" s="10"/>
      <c r="C85" s="10"/>
      <c r="D85" s="10"/>
      <c r="E85" s="10"/>
      <c r="F85" s="3"/>
      <c r="G85" s="3"/>
      <c r="H85" s="3"/>
    </row>
    <row r="86" spans="1:8" s="8" customFormat="1" x14ac:dyDescent="0.25">
      <c r="A86" s="3"/>
      <c r="B86" s="10"/>
      <c r="C86" s="10"/>
      <c r="D86" s="10"/>
      <c r="E86" s="10"/>
      <c r="F86" s="3"/>
      <c r="G86" s="3"/>
      <c r="H86" s="3"/>
    </row>
    <row r="87" spans="1:8" s="8" customFormat="1" x14ac:dyDescent="0.25">
      <c r="A87" s="3"/>
      <c r="B87" s="10"/>
      <c r="C87" s="10"/>
      <c r="D87" s="10"/>
      <c r="E87" s="10"/>
      <c r="F87" s="3"/>
      <c r="G87" s="3"/>
      <c r="H87" s="3"/>
    </row>
    <row r="88" spans="1:8" s="8" customFormat="1" x14ac:dyDescent="0.25">
      <c r="A88" s="3"/>
      <c r="B88" s="10"/>
      <c r="C88" s="10"/>
      <c r="D88" s="10"/>
      <c r="E88" s="10"/>
      <c r="F88" s="3"/>
      <c r="G88" s="3"/>
      <c r="H88" s="3"/>
    </row>
    <row r="89" spans="1:8" s="8" customFormat="1" x14ac:dyDescent="0.25">
      <c r="A89" s="3"/>
      <c r="B89" s="10"/>
      <c r="C89" s="10"/>
      <c r="D89" s="10"/>
      <c r="E89" s="10"/>
      <c r="F89" s="3"/>
      <c r="G89" s="3"/>
      <c r="H89" s="3"/>
    </row>
    <row r="90" spans="1:8" s="8" customFormat="1" x14ac:dyDescent="0.25">
      <c r="A90" s="3"/>
      <c r="B90" s="10"/>
      <c r="C90" s="10"/>
      <c r="D90" s="10"/>
      <c r="E90" s="10"/>
      <c r="F90" s="3"/>
      <c r="G90" s="3"/>
      <c r="H90" s="3"/>
    </row>
    <row r="91" spans="1:8" s="8" customFormat="1" x14ac:dyDescent="0.25">
      <c r="A91" s="3"/>
      <c r="B91" s="10"/>
      <c r="C91" s="10"/>
      <c r="D91" s="10"/>
      <c r="E91" s="10"/>
      <c r="F91" s="3"/>
      <c r="G91" s="3"/>
      <c r="H91" s="3"/>
    </row>
    <row r="92" spans="1:8" s="8" customFormat="1" x14ac:dyDescent="0.25">
      <c r="A92" s="3"/>
      <c r="B92" s="10"/>
      <c r="C92" s="10"/>
      <c r="D92" s="10"/>
      <c r="E92" s="10"/>
      <c r="F92" s="3"/>
      <c r="G92" s="3"/>
      <c r="H92" s="3"/>
    </row>
    <row r="93" spans="1:8" s="8" customFormat="1" x14ac:dyDescent="0.25">
      <c r="A93" s="3"/>
      <c r="B93" s="10"/>
      <c r="C93" s="10"/>
      <c r="D93" s="10"/>
      <c r="E93" s="10"/>
      <c r="F93" s="3"/>
      <c r="G93" s="3"/>
      <c r="H93" s="3"/>
    </row>
    <row r="94" spans="1:8" s="8" customFormat="1" x14ac:dyDescent="0.25">
      <c r="A94" s="3"/>
      <c r="B94" s="10"/>
      <c r="C94" s="10"/>
      <c r="D94" s="10"/>
      <c r="E94" s="10"/>
      <c r="F94" s="3"/>
      <c r="G94" s="3"/>
      <c r="H94" s="3"/>
    </row>
    <row r="95" spans="1:8" s="8" customFormat="1" x14ac:dyDescent="0.25">
      <c r="A95" s="3"/>
      <c r="B95" s="10"/>
      <c r="C95" s="10"/>
      <c r="D95" s="10"/>
      <c r="E95" s="10"/>
      <c r="F95" s="3"/>
      <c r="G95" s="3"/>
      <c r="H95" s="3"/>
    </row>
    <row r="96" spans="1:8" s="8" customFormat="1" x14ac:dyDescent="0.25">
      <c r="A96" s="3"/>
      <c r="B96" s="10"/>
      <c r="C96" s="10"/>
      <c r="D96" s="10"/>
      <c r="E96" s="10"/>
      <c r="F96" s="3"/>
      <c r="G96" s="3"/>
      <c r="H96" s="3"/>
    </row>
    <row r="97" spans="1:8" s="8" customFormat="1" x14ac:dyDescent="0.25">
      <c r="A97" s="3"/>
      <c r="B97" s="10"/>
      <c r="C97" s="10"/>
      <c r="D97" s="10"/>
      <c r="E97" s="10"/>
      <c r="F97" s="3"/>
      <c r="G97" s="3"/>
      <c r="H97" s="3"/>
    </row>
    <row r="98" spans="1:8" s="8" customFormat="1" x14ac:dyDescent="0.25">
      <c r="A98" s="3"/>
      <c r="B98" s="10"/>
      <c r="C98" s="10"/>
      <c r="D98" s="10"/>
      <c r="E98" s="10"/>
      <c r="F98" s="3"/>
      <c r="G98" s="3"/>
      <c r="H98" s="3"/>
    </row>
    <row r="99" spans="1:8" s="8" customFormat="1" x14ac:dyDescent="0.25">
      <c r="A99" s="3"/>
      <c r="B99" s="10"/>
      <c r="C99" s="10"/>
      <c r="D99" s="10"/>
      <c r="E99" s="10"/>
      <c r="F99" s="3"/>
      <c r="G99" s="3"/>
      <c r="H99" s="3"/>
    </row>
    <row r="100" spans="1:8" s="8" customFormat="1" x14ac:dyDescent="0.25">
      <c r="A100" s="3"/>
      <c r="B100" s="10"/>
      <c r="C100" s="10"/>
      <c r="D100" s="10"/>
      <c r="E100" s="10"/>
      <c r="F100" s="3"/>
      <c r="G100" s="3"/>
      <c r="H100" s="3"/>
    </row>
    <row r="101" spans="1:8" s="8" customFormat="1" x14ac:dyDescent="0.25">
      <c r="A101" s="3"/>
      <c r="B101" s="10"/>
      <c r="C101" s="10"/>
      <c r="D101" s="10"/>
      <c r="E101" s="10"/>
      <c r="F101" s="3"/>
      <c r="G101" s="3"/>
      <c r="H101" s="3"/>
    </row>
    <row r="102" spans="1:8" s="8" customFormat="1" x14ac:dyDescent="0.25">
      <c r="A102" s="3"/>
      <c r="B102" s="10"/>
      <c r="C102" s="10"/>
      <c r="D102" s="10"/>
      <c r="E102" s="10"/>
      <c r="F102" s="3"/>
      <c r="G102" s="3"/>
      <c r="H102" s="3"/>
    </row>
    <row r="103" spans="1:8" s="8" customFormat="1" x14ac:dyDescent="0.25">
      <c r="A103" s="3"/>
      <c r="B103" s="10"/>
      <c r="C103" s="10"/>
      <c r="D103" s="10"/>
      <c r="E103" s="10"/>
      <c r="F103" s="3"/>
      <c r="G103" s="3"/>
      <c r="H103" s="3"/>
    </row>
    <row r="104" spans="1:8" s="8" customFormat="1" x14ac:dyDescent="0.25">
      <c r="A104" s="3"/>
      <c r="B104" s="10"/>
      <c r="C104" s="10"/>
      <c r="D104" s="10"/>
      <c r="E104" s="10"/>
      <c r="F104" s="3"/>
      <c r="G104" s="3"/>
      <c r="H104" s="3"/>
    </row>
    <row r="105" spans="1:8" s="8" customFormat="1" x14ac:dyDescent="0.25">
      <c r="A105" s="3"/>
      <c r="B105" s="10"/>
      <c r="C105" s="10"/>
      <c r="D105" s="10"/>
      <c r="E105" s="10"/>
      <c r="F105" s="3"/>
      <c r="G105" s="3"/>
      <c r="H105" s="3"/>
    </row>
    <row r="106" spans="1:8" s="8" customFormat="1" x14ac:dyDescent="0.25">
      <c r="A106" s="3"/>
      <c r="B106" s="10"/>
      <c r="C106" s="10"/>
      <c r="D106" s="10"/>
      <c r="E106" s="10"/>
      <c r="F106" s="3"/>
      <c r="G106" s="3"/>
      <c r="H106" s="3"/>
    </row>
    <row r="107" spans="1:8" s="8" customFormat="1" x14ac:dyDescent="0.25">
      <c r="A107" s="3"/>
      <c r="B107" s="10"/>
      <c r="C107" s="10"/>
      <c r="D107" s="10"/>
      <c r="E107" s="10"/>
      <c r="F107" s="3"/>
      <c r="G107" s="3"/>
      <c r="H107" s="3"/>
    </row>
    <row r="108" spans="1:8" s="8" customFormat="1" x14ac:dyDescent="0.25">
      <c r="A108" s="3"/>
      <c r="B108" s="10"/>
      <c r="C108" s="10"/>
      <c r="D108" s="10"/>
      <c r="E108" s="10"/>
      <c r="F108" s="3"/>
      <c r="G108" s="3"/>
      <c r="H108" s="3"/>
    </row>
    <row r="109" spans="1:8" s="8" customFormat="1" x14ac:dyDescent="0.25">
      <c r="A109" s="3"/>
      <c r="B109" s="10"/>
      <c r="C109" s="10"/>
      <c r="D109" s="10"/>
      <c r="E109" s="10"/>
      <c r="F109" s="3"/>
      <c r="G109" s="3"/>
      <c r="H109" s="3"/>
    </row>
    <row r="110" spans="1:8" s="8" customFormat="1" x14ac:dyDescent="0.25">
      <c r="A110" s="3"/>
      <c r="B110" s="10"/>
      <c r="C110" s="10"/>
      <c r="D110" s="10"/>
      <c r="E110" s="10"/>
      <c r="F110" s="3"/>
      <c r="G110" s="3"/>
      <c r="H110" s="3"/>
    </row>
    <row r="111" spans="1:8" s="8" customFormat="1" x14ac:dyDescent="0.25">
      <c r="A111" s="3"/>
      <c r="B111" s="10"/>
      <c r="C111" s="10"/>
      <c r="D111" s="10"/>
      <c r="E111" s="10"/>
      <c r="F111" s="3"/>
      <c r="G111" s="3"/>
      <c r="H111" s="3"/>
    </row>
    <row r="112" spans="1:8" s="8" customFormat="1" x14ac:dyDescent="0.25">
      <c r="A112" s="3"/>
      <c r="B112" s="10"/>
      <c r="C112" s="10"/>
      <c r="D112" s="10"/>
      <c r="E112" s="10"/>
      <c r="F112" s="3"/>
      <c r="G112" s="3"/>
      <c r="H112" s="3"/>
    </row>
    <row r="113" spans="1:8" s="8" customFormat="1" x14ac:dyDescent="0.25">
      <c r="A113" s="3"/>
      <c r="B113" s="10"/>
      <c r="C113" s="10"/>
      <c r="D113" s="10"/>
      <c r="E113" s="10"/>
      <c r="F113" s="3"/>
      <c r="G113" s="3"/>
      <c r="H113" s="3"/>
    </row>
    <row r="114" spans="1:8" s="8" customFormat="1" x14ac:dyDescent="0.25">
      <c r="A114" s="3"/>
      <c r="B114" s="10"/>
      <c r="C114" s="10"/>
      <c r="D114" s="10"/>
      <c r="E114" s="10"/>
      <c r="F114" s="3"/>
      <c r="G114" s="3"/>
      <c r="H114" s="3"/>
    </row>
    <row r="115" spans="1:8" s="8" customFormat="1" x14ac:dyDescent="0.25">
      <c r="A115" s="3"/>
      <c r="B115" s="10"/>
      <c r="C115" s="10"/>
      <c r="D115" s="10"/>
      <c r="E115" s="10"/>
      <c r="F115" s="3"/>
      <c r="G115" s="3"/>
      <c r="H115" s="3"/>
    </row>
    <row r="116" spans="1:8" s="8" customFormat="1" x14ac:dyDescent="0.25">
      <c r="A116" s="3"/>
      <c r="B116" s="10"/>
      <c r="C116" s="10"/>
      <c r="D116" s="10"/>
      <c r="E116" s="10"/>
      <c r="F116" s="3"/>
      <c r="G116" s="3"/>
      <c r="H116" s="3"/>
    </row>
    <row r="117" spans="1:8" s="8" customFormat="1" x14ac:dyDescent="0.25">
      <c r="A117" s="3"/>
      <c r="B117" s="10"/>
      <c r="C117" s="10"/>
      <c r="D117" s="10"/>
      <c r="E117" s="10"/>
      <c r="F117" s="3"/>
      <c r="G117" s="3"/>
      <c r="H117" s="3"/>
    </row>
    <row r="118" spans="1:8" s="8" customFormat="1" x14ac:dyDescent="0.25">
      <c r="A118" s="3"/>
      <c r="B118" s="10"/>
      <c r="C118" s="10"/>
      <c r="D118" s="10"/>
      <c r="E118" s="10"/>
      <c r="F118" s="3"/>
      <c r="G118" s="3"/>
      <c r="H118" s="3"/>
    </row>
    <row r="119" spans="1:8" s="8" customFormat="1" x14ac:dyDescent="0.25">
      <c r="A119" s="3"/>
      <c r="B119" s="10"/>
      <c r="C119" s="10"/>
      <c r="D119" s="10"/>
      <c r="E119" s="10"/>
      <c r="F119" s="3"/>
      <c r="G119" s="3"/>
      <c r="H119" s="3"/>
    </row>
    <row r="120" spans="1:8" s="8" customFormat="1" x14ac:dyDescent="0.25">
      <c r="A120" s="3"/>
      <c r="B120" s="10"/>
      <c r="C120" s="10"/>
      <c r="D120" s="10"/>
      <c r="E120" s="10"/>
      <c r="F120" s="3"/>
      <c r="G120" s="3"/>
      <c r="H120" s="3"/>
    </row>
    <row r="121" spans="1:8" s="8" customFormat="1" x14ac:dyDescent="0.25">
      <c r="A121" s="3"/>
      <c r="B121" s="10"/>
      <c r="C121" s="10"/>
      <c r="D121" s="10"/>
      <c r="E121" s="10"/>
      <c r="F121" s="3"/>
      <c r="G121" s="3"/>
      <c r="H121" s="3"/>
    </row>
    <row r="122" spans="1:8" s="8" customFormat="1" x14ac:dyDescent="0.25">
      <c r="A122" s="3"/>
      <c r="B122" s="10"/>
      <c r="C122" s="10"/>
      <c r="D122" s="10"/>
      <c r="E122" s="10"/>
      <c r="F122" s="3"/>
      <c r="G122" s="3"/>
      <c r="H122" s="3"/>
    </row>
    <row r="123" spans="1:8" s="8" customFormat="1" x14ac:dyDescent="0.25">
      <c r="A123" s="3"/>
      <c r="B123" s="10"/>
      <c r="C123" s="10"/>
      <c r="D123" s="10"/>
      <c r="E123" s="10"/>
      <c r="F123" s="3"/>
      <c r="G123" s="3"/>
      <c r="H123" s="3"/>
    </row>
    <row r="124" spans="1:8" s="8" customFormat="1" x14ac:dyDescent="0.25">
      <c r="A124" s="3"/>
      <c r="B124" s="10"/>
      <c r="C124" s="10"/>
      <c r="D124" s="10"/>
      <c r="E124" s="10"/>
      <c r="F124" s="3"/>
      <c r="G124" s="3"/>
      <c r="H124" s="3"/>
    </row>
    <row r="125" spans="1:8" s="8" customFormat="1" x14ac:dyDescent="0.25">
      <c r="A125" s="3"/>
      <c r="B125" s="10"/>
      <c r="C125" s="10"/>
      <c r="D125" s="10"/>
      <c r="E125" s="10"/>
      <c r="F125" s="3"/>
      <c r="G125" s="3"/>
      <c r="H125" s="3"/>
    </row>
    <row r="126" spans="1:8" s="8" customFormat="1" x14ac:dyDescent="0.25">
      <c r="A126" s="3"/>
      <c r="B126" s="10"/>
      <c r="C126" s="10"/>
      <c r="D126" s="10"/>
      <c r="E126" s="10"/>
      <c r="F126" s="3"/>
      <c r="G126" s="3"/>
      <c r="H126" s="3"/>
    </row>
    <row r="127" spans="1:8" s="8" customFormat="1" x14ac:dyDescent="0.25">
      <c r="A127" s="3"/>
      <c r="B127" s="10"/>
      <c r="C127" s="10"/>
      <c r="D127" s="10"/>
      <c r="E127" s="10"/>
      <c r="F127" s="3"/>
      <c r="G127" s="3"/>
      <c r="H127" s="3"/>
    </row>
    <row r="128" spans="1:8" s="8" customFormat="1" x14ac:dyDescent="0.25">
      <c r="A128" s="3"/>
      <c r="B128" s="10"/>
      <c r="C128" s="10"/>
      <c r="D128" s="10"/>
      <c r="E128" s="10"/>
      <c r="F128" s="3"/>
      <c r="G128" s="3"/>
      <c r="H128" s="3"/>
    </row>
    <row r="129" spans="1:8" s="8" customFormat="1" x14ac:dyDescent="0.25">
      <c r="A129" s="3"/>
      <c r="B129" s="10"/>
      <c r="C129" s="10"/>
      <c r="D129" s="10"/>
      <c r="E129" s="10"/>
      <c r="F129" s="3"/>
      <c r="G129" s="3"/>
      <c r="H129" s="3"/>
    </row>
    <row r="130" spans="1:8" s="8" customFormat="1" x14ac:dyDescent="0.25">
      <c r="A130" s="3"/>
      <c r="B130" s="10"/>
      <c r="C130" s="10"/>
      <c r="D130" s="10"/>
      <c r="E130" s="10"/>
      <c r="F130" s="3"/>
      <c r="G130" s="3"/>
      <c r="H130" s="3"/>
    </row>
    <row r="131" spans="1:8" s="8" customFormat="1" x14ac:dyDescent="0.25">
      <c r="A131" s="3"/>
      <c r="B131" s="10"/>
      <c r="C131" s="10"/>
      <c r="D131" s="10"/>
      <c r="E131" s="10"/>
      <c r="F131" s="3"/>
      <c r="G131" s="3"/>
      <c r="H131" s="3"/>
    </row>
    <row r="132" spans="1:8" s="8" customFormat="1" x14ac:dyDescent="0.25">
      <c r="A132" s="3"/>
      <c r="B132" s="10"/>
      <c r="C132" s="10"/>
      <c r="D132" s="10"/>
      <c r="E132" s="10"/>
      <c r="F132" s="3"/>
      <c r="G132" s="3"/>
      <c r="H132" s="3"/>
    </row>
    <row r="133" spans="1:8" s="8" customFormat="1" x14ac:dyDescent="0.25">
      <c r="A133" s="3"/>
      <c r="B133" s="10"/>
      <c r="C133" s="10"/>
      <c r="D133" s="10"/>
      <c r="E133" s="10"/>
      <c r="F133" s="3"/>
      <c r="G133" s="3"/>
      <c r="H133" s="3"/>
    </row>
    <row r="134" spans="1:8" s="8" customFormat="1" x14ac:dyDescent="0.25">
      <c r="A134" s="3"/>
      <c r="B134" s="10"/>
      <c r="C134" s="10"/>
      <c r="D134" s="10"/>
      <c r="E134" s="10"/>
      <c r="F134" s="3"/>
      <c r="G134" s="3"/>
      <c r="H134" s="3"/>
    </row>
    <row r="135" spans="1:8" s="8" customFormat="1" x14ac:dyDescent="0.25">
      <c r="A135" s="3"/>
      <c r="B135" s="10"/>
      <c r="C135" s="10"/>
      <c r="D135" s="10"/>
      <c r="E135" s="10"/>
      <c r="F135" s="3"/>
      <c r="G135" s="3"/>
      <c r="H135" s="3"/>
    </row>
    <row r="136" spans="1:8" s="8" customFormat="1" x14ac:dyDescent="0.25">
      <c r="A136" s="3"/>
      <c r="B136" s="10"/>
      <c r="C136" s="10"/>
      <c r="D136" s="10"/>
      <c r="E136" s="10"/>
      <c r="F136" s="3"/>
      <c r="G136" s="3"/>
      <c r="H136" s="3"/>
    </row>
    <row r="137" spans="1:8" s="8" customFormat="1" x14ac:dyDescent="0.25">
      <c r="A137" s="3"/>
      <c r="B137" s="10"/>
      <c r="C137" s="10"/>
      <c r="D137" s="10"/>
      <c r="E137" s="10"/>
      <c r="F137" s="3"/>
      <c r="G137" s="3"/>
      <c r="H137" s="3"/>
    </row>
    <row r="138" spans="1:8" s="8" customFormat="1" x14ac:dyDescent="0.25">
      <c r="A138" s="3"/>
      <c r="B138" s="10"/>
      <c r="C138" s="10"/>
      <c r="D138" s="10"/>
      <c r="E138" s="10"/>
      <c r="F138" s="3"/>
      <c r="G138" s="3"/>
      <c r="H138" s="3"/>
    </row>
    <row r="139" spans="1:8" s="8" customFormat="1" x14ac:dyDescent="0.25">
      <c r="A139" s="3"/>
      <c r="B139" s="10"/>
      <c r="C139" s="10"/>
      <c r="D139" s="10"/>
      <c r="E139" s="10"/>
      <c r="F139" s="3"/>
      <c r="G139" s="3"/>
      <c r="H139" s="3"/>
    </row>
    <row r="140" spans="1:8" s="8" customFormat="1" x14ac:dyDescent="0.25">
      <c r="A140" s="3"/>
      <c r="B140" s="10"/>
      <c r="C140" s="10"/>
      <c r="D140" s="10"/>
      <c r="E140" s="10"/>
      <c r="F140" s="3"/>
      <c r="G140" s="3"/>
      <c r="H140" s="3"/>
    </row>
    <row r="141" spans="1:8" s="8" customFormat="1" x14ac:dyDescent="0.25">
      <c r="A141" s="3"/>
      <c r="B141" s="10"/>
      <c r="C141" s="10"/>
      <c r="D141" s="10"/>
      <c r="E141" s="10"/>
      <c r="F141" s="3"/>
      <c r="G141" s="3"/>
      <c r="H141" s="3"/>
    </row>
    <row r="142" spans="1:8" s="8" customFormat="1" x14ac:dyDescent="0.25">
      <c r="A142" s="3"/>
      <c r="B142" s="10"/>
      <c r="C142" s="10"/>
      <c r="D142" s="10"/>
      <c r="E142" s="10"/>
      <c r="F142" s="3"/>
      <c r="G142" s="3"/>
      <c r="H142" s="3"/>
    </row>
    <row r="143" spans="1:8" s="8" customFormat="1" x14ac:dyDescent="0.25">
      <c r="A143" s="3"/>
      <c r="B143" s="10"/>
      <c r="C143" s="10"/>
      <c r="D143" s="10"/>
      <c r="E143" s="10"/>
      <c r="F143" s="3"/>
      <c r="G143" s="3"/>
      <c r="H143" s="3"/>
    </row>
    <row r="144" spans="1:8" s="8" customFormat="1" x14ac:dyDescent="0.25">
      <c r="A144" s="3"/>
      <c r="B144" s="10"/>
      <c r="C144" s="10"/>
      <c r="D144" s="10"/>
      <c r="E144" s="10"/>
      <c r="F144" s="3"/>
      <c r="G144" s="3"/>
      <c r="H144" s="3"/>
    </row>
    <row r="145" spans="1:8" s="8" customFormat="1" x14ac:dyDescent="0.25">
      <c r="A145" s="3"/>
      <c r="B145" s="10"/>
      <c r="C145" s="10"/>
      <c r="D145" s="10"/>
      <c r="E145" s="10"/>
      <c r="F145" s="3"/>
      <c r="G145" s="3"/>
      <c r="H145" s="3"/>
    </row>
    <row r="146" spans="1:8" s="8" customFormat="1" x14ac:dyDescent="0.25">
      <c r="A146" s="3"/>
      <c r="B146" s="10"/>
      <c r="C146" s="10"/>
      <c r="D146" s="10"/>
      <c r="E146" s="10"/>
      <c r="F146" s="3"/>
      <c r="G146" s="3"/>
      <c r="H146" s="3"/>
    </row>
    <row r="147" spans="1:8" s="8" customFormat="1" x14ac:dyDescent="0.25">
      <c r="A147" s="3"/>
      <c r="B147" s="10"/>
      <c r="C147" s="10"/>
      <c r="D147" s="10"/>
      <c r="E147" s="10"/>
      <c r="F147" s="3"/>
      <c r="G147" s="3"/>
      <c r="H147" s="3"/>
    </row>
    <row r="148" spans="1:8" s="8" customFormat="1" x14ac:dyDescent="0.25">
      <c r="A148" s="3"/>
      <c r="B148" s="10"/>
      <c r="C148" s="10"/>
      <c r="D148" s="10"/>
      <c r="E148" s="10"/>
      <c r="F148" s="3"/>
      <c r="G148" s="3"/>
      <c r="H148" s="3"/>
    </row>
    <row r="149" spans="1:8" s="8" customFormat="1" x14ac:dyDescent="0.25">
      <c r="A149" s="3"/>
      <c r="B149" s="10"/>
      <c r="C149" s="10"/>
      <c r="D149" s="10"/>
      <c r="E149" s="10"/>
      <c r="F149" s="3"/>
      <c r="G149" s="3"/>
      <c r="H149" s="3"/>
    </row>
    <row r="150" spans="1:8" s="8" customFormat="1" x14ac:dyDescent="0.25">
      <c r="A150" s="3"/>
      <c r="B150" s="10"/>
      <c r="C150" s="10"/>
      <c r="D150" s="10"/>
      <c r="E150" s="10"/>
      <c r="F150" s="3"/>
      <c r="G150" s="3"/>
      <c r="H150" s="3"/>
    </row>
    <row r="151" spans="1:8" s="8" customFormat="1" x14ac:dyDescent="0.25">
      <c r="A151" s="3"/>
      <c r="B151" s="10"/>
      <c r="C151" s="10"/>
      <c r="D151" s="10"/>
      <c r="E151" s="10"/>
      <c r="F151" s="3"/>
      <c r="G151" s="3"/>
      <c r="H151" s="3"/>
    </row>
    <row r="152" spans="1:8" s="8" customFormat="1" x14ac:dyDescent="0.25">
      <c r="A152" s="3"/>
      <c r="B152" s="10"/>
      <c r="C152" s="10"/>
      <c r="D152" s="10"/>
      <c r="E152" s="10"/>
      <c r="F152" s="3"/>
      <c r="G152" s="3"/>
      <c r="H152" s="3"/>
    </row>
    <row r="153" spans="1:8" s="8" customFormat="1" x14ac:dyDescent="0.25">
      <c r="A153" s="3"/>
      <c r="B153" s="10"/>
      <c r="C153" s="10"/>
      <c r="D153" s="10"/>
      <c r="E153" s="10"/>
      <c r="F153" s="3"/>
      <c r="G153" s="3"/>
      <c r="H153" s="3"/>
    </row>
    <row r="154" spans="1:8" s="8" customFormat="1" x14ac:dyDescent="0.25">
      <c r="A154" s="3"/>
      <c r="B154" s="10"/>
      <c r="C154" s="10"/>
      <c r="D154" s="10"/>
      <c r="E154" s="10"/>
      <c r="F154" s="3"/>
      <c r="G154" s="3"/>
      <c r="H154" s="3"/>
    </row>
    <row r="155" spans="1:8" s="8" customFormat="1" x14ac:dyDescent="0.25">
      <c r="A155" s="3"/>
      <c r="B155" s="10"/>
      <c r="C155" s="10"/>
      <c r="D155" s="10"/>
      <c r="E155" s="10"/>
      <c r="F155" s="3"/>
      <c r="G155" s="3"/>
      <c r="H155" s="3"/>
    </row>
    <row r="156" spans="1:8" s="8" customFormat="1" x14ac:dyDescent="0.25">
      <c r="A156" s="3"/>
      <c r="B156" s="10"/>
      <c r="C156" s="10"/>
      <c r="D156" s="10"/>
      <c r="E156" s="10"/>
      <c r="F156" s="3"/>
      <c r="G156" s="3"/>
      <c r="H156" s="3"/>
    </row>
    <row r="157" spans="1:8" s="8" customFormat="1" x14ac:dyDescent="0.25">
      <c r="A157" s="3"/>
      <c r="B157" s="10"/>
      <c r="C157" s="10"/>
      <c r="D157" s="10"/>
      <c r="E157" s="10"/>
      <c r="F157" s="3"/>
      <c r="G157" s="3"/>
      <c r="H157" s="3"/>
    </row>
    <row r="158" spans="1:8" s="8" customFormat="1" x14ac:dyDescent="0.25">
      <c r="A158" s="3"/>
      <c r="B158" s="10"/>
      <c r="C158" s="10"/>
      <c r="D158" s="10"/>
      <c r="E158" s="10"/>
      <c r="F158" s="3"/>
      <c r="G158" s="3"/>
      <c r="H158" s="3"/>
    </row>
    <row r="159" spans="1:8" s="8" customFormat="1" x14ac:dyDescent="0.25">
      <c r="A159" s="3"/>
      <c r="B159" s="10"/>
      <c r="C159" s="10"/>
      <c r="D159" s="10"/>
      <c r="E159" s="10"/>
      <c r="F159" s="3"/>
      <c r="G159" s="3"/>
      <c r="H159" s="3"/>
    </row>
    <row r="160" spans="1:8" s="8" customFormat="1" x14ac:dyDescent="0.25">
      <c r="A160" s="3"/>
      <c r="B160" s="10"/>
      <c r="C160" s="10"/>
      <c r="D160" s="10"/>
      <c r="E160" s="10"/>
      <c r="F160" s="3"/>
      <c r="G160" s="3"/>
      <c r="H160" s="3"/>
    </row>
    <row r="161" spans="1:8" s="8" customFormat="1" x14ac:dyDescent="0.25">
      <c r="A161" s="3"/>
      <c r="B161" s="10"/>
      <c r="C161" s="10"/>
      <c r="D161" s="10"/>
      <c r="E161" s="10"/>
      <c r="F161" s="3"/>
      <c r="G161" s="3"/>
      <c r="H161" s="3"/>
    </row>
    <row r="162" spans="1:8" s="8" customFormat="1" x14ac:dyDescent="0.25">
      <c r="A162" s="3"/>
      <c r="B162" s="10"/>
      <c r="C162" s="10"/>
      <c r="D162" s="10"/>
      <c r="E162" s="10"/>
      <c r="F162" s="3"/>
      <c r="G162" s="3"/>
      <c r="H162" s="3"/>
    </row>
    <row r="163" spans="1:8" s="8" customFormat="1" x14ac:dyDescent="0.25">
      <c r="A163" s="3"/>
      <c r="B163" s="10"/>
      <c r="C163" s="10"/>
      <c r="D163" s="10"/>
      <c r="E163" s="10"/>
      <c r="F163" s="3"/>
      <c r="G163" s="3"/>
      <c r="H163" s="3"/>
    </row>
    <row r="164" spans="1:8" s="8" customFormat="1" x14ac:dyDescent="0.25">
      <c r="A164" s="3"/>
      <c r="B164" s="10"/>
      <c r="C164" s="10"/>
      <c r="D164" s="10"/>
      <c r="E164" s="10"/>
      <c r="F164" s="3"/>
      <c r="G164" s="3"/>
      <c r="H164" s="3"/>
    </row>
    <row r="165" spans="1:8" s="8" customFormat="1" x14ac:dyDescent="0.25">
      <c r="A165" s="3"/>
      <c r="B165" s="10"/>
      <c r="C165" s="10"/>
      <c r="D165" s="10"/>
      <c r="E165" s="10"/>
      <c r="F165" s="3"/>
      <c r="G165" s="3"/>
      <c r="H165" s="3"/>
    </row>
    <row r="166" spans="1:8" s="8" customFormat="1" x14ac:dyDescent="0.25">
      <c r="A166" s="3"/>
      <c r="B166" s="10"/>
      <c r="C166" s="10"/>
      <c r="D166" s="10"/>
      <c r="E166" s="10"/>
      <c r="F166" s="3"/>
      <c r="G166" s="3"/>
      <c r="H166" s="3"/>
    </row>
    <row r="167" spans="1:8" s="8" customFormat="1" x14ac:dyDescent="0.25">
      <c r="A167" s="3"/>
      <c r="B167" s="10"/>
      <c r="C167" s="10"/>
      <c r="D167" s="10"/>
      <c r="E167" s="10"/>
      <c r="F167" s="3"/>
      <c r="G167" s="3"/>
      <c r="H167" s="3"/>
    </row>
    <row r="168" spans="1:8" s="8" customFormat="1" x14ac:dyDescent="0.25">
      <c r="A168" s="3"/>
      <c r="B168" s="10"/>
      <c r="C168" s="10"/>
      <c r="D168" s="10"/>
      <c r="E168" s="10"/>
      <c r="F168" s="3"/>
      <c r="G168" s="3"/>
      <c r="H168" s="3"/>
    </row>
    <row r="169" spans="1:8" s="8" customFormat="1" x14ac:dyDescent="0.25">
      <c r="A169" s="3"/>
      <c r="B169" s="10"/>
      <c r="C169" s="10"/>
      <c r="D169" s="10"/>
      <c r="E169" s="10"/>
      <c r="F169" s="3"/>
      <c r="G169" s="3"/>
      <c r="H169" s="3"/>
    </row>
    <row r="170" spans="1:8" s="8" customFormat="1" x14ac:dyDescent="0.25">
      <c r="A170" s="3"/>
      <c r="B170" s="10"/>
      <c r="C170" s="10"/>
      <c r="D170" s="10"/>
      <c r="E170" s="10"/>
      <c r="F170" s="3"/>
      <c r="G170" s="3"/>
      <c r="H170" s="3"/>
    </row>
    <row r="171" spans="1:8" s="8" customFormat="1" x14ac:dyDescent="0.25">
      <c r="A171" s="3"/>
      <c r="B171" s="10"/>
      <c r="C171" s="10"/>
      <c r="D171" s="10"/>
      <c r="E171" s="10"/>
      <c r="F171" s="3"/>
      <c r="G171" s="3"/>
      <c r="H171" s="3"/>
    </row>
    <row r="172" spans="1:8" s="8" customFormat="1" x14ac:dyDescent="0.25">
      <c r="A172" s="3"/>
      <c r="B172" s="10"/>
      <c r="C172" s="10"/>
      <c r="D172" s="10"/>
      <c r="E172" s="10"/>
      <c r="F172" s="3"/>
      <c r="G172" s="3"/>
      <c r="H172" s="3"/>
    </row>
    <row r="173" spans="1:8" s="8" customFormat="1" x14ac:dyDescent="0.25">
      <c r="A173" s="3"/>
      <c r="B173" s="10"/>
      <c r="C173" s="10"/>
      <c r="D173" s="10"/>
      <c r="E173" s="10"/>
      <c r="F173" s="3"/>
      <c r="G173" s="3"/>
      <c r="H173" s="3"/>
    </row>
    <row r="174" spans="1:8" s="8" customFormat="1" x14ac:dyDescent="0.25">
      <c r="A174" s="3"/>
      <c r="B174" s="10"/>
      <c r="C174" s="10"/>
      <c r="D174" s="10"/>
      <c r="E174" s="10"/>
      <c r="F174" s="3"/>
      <c r="G174" s="3"/>
      <c r="H174" s="3"/>
    </row>
    <row r="175" spans="1:8" s="8" customFormat="1" x14ac:dyDescent="0.25">
      <c r="A175" s="3"/>
      <c r="B175" s="10"/>
      <c r="C175" s="10"/>
      <c r="D175" s="10"/>
      <c r="E175" s="10"/>
      <c r="F175" s="3"/>
      <c r="G175" s="3"/>
      <c r="H175" s="3"/>
    </row>
    <row r="176" spans="1:8" s="8" customFormat="1" x14ac:dyDescent="0.25">
      <c r="A176" s="3"/>
      <c r="B176" s="10"/>
      <c r="C176" s="10"/>
      <c r="D176" s="10"/>
      <c r="E176" s="10"/>
      <c r="F176" s="3"/>
      <c r="G176" s="3"/>
      <c r="H176" s="3"/>
    </row>
    <row r="177" spans="1:8" s="8" customFormat="1" x14ac:dyDescent="0.25">
      <c r="A177" s="3"/>
      <c r="B177" s="10"/>
      <c r="C177" s="10"/>
      <c r="D177" s="10"/>
      <c r="E177" s="10"/>
      <c r="F177" s="3"/>
      <c r="G177" s="3"/>
      <c r="H177" s="3"/>
    </row>
    <row r="178" spans="1:8" s="8" customFormat="1" x14ac:dyDescent="0.25">
      <c r="A178" s="3"/>
      <c r="B178" s="10"/>
      <c r="C178" s="10"/>
      <c r="D178" s="10"/>
      <c r="E178" s="10"/>
      <c r="F178" s="3"/>
      <c r="G178" s="3"/>
      <c r="H178" s="3"/>
    </row>
    <row r="179" spans="1:8" s="8" customFormat="1" x14ac:dyDescent="0.25">
      <c r="A179" s="3"/>
      <c r="B179" s="10"/>
      <c r="C179" s="10"/>
      <c r="D179" s="10"/>
      <c r="E179" s="10"/>
      <c r="F179" s="3"/>
      <c r="G179" s="3"/>
      <c r="H179" s="3"/>
    </row>
    <row r="180" spans="1:8" s="8" customFormat="1" x14ac:dyDescent="0.25">
      <c r="A180" s="3"/>
      <c r="B180" s="10"/>
      <c r="C180" s="10"/>
      <c r="D180" s="10"/>
      <c r="E180" s="10"/>
      <c r="F180" s="3"/>
      <c r="G180" s="3"/>
      <c r="H180" s="3"/>
    </row>
    <row r="181" spans="1:8" s="8" customFormat="1" x14ac:dyDescent="0.25">
      <c r="A181" s="3"/>
      <c r="B181" s="10"/>
      <c r="C181" s="10"/>
      <c r="D181" s="10"/>
      <c r="E181" s="10"/>
      <c r="F181" s="3"/>
      <c r="G181" s="3"/>
      <c r="H181" s="3"/>
    </row>
    <row r="182" spans="1:8" s="8" customFormat="1" x14ac:dyDescent="0.25">
      <c r="A182" s="3"/>
      <c r="B182" s="10"/>
      <c r="C182" s="10"/>
      <c r="D182" s="10"/>
      <c r="E182" s="10"/>
      <c r="F182" s="3"/>
      <c r="G182" s="3"/>
      <c r="H182" s="3"/>
    </row>
    <row r="183" spans="1:8" s="8" customFormat="1" x14ac:dyDescent="0.25">
      <c r="A183" s="3"/>
      <c r="B183" s="10"/>
      <c r="C183" s="10"/>
      <c r="D183" s="10"/>
      <c r="E183" s="10"/>
      <c r="F183" s="3"/>
      <c r="G183" s="3"/>
      <c r="H183" s="3"/>
    </row>
    <row r="184" spans="1:8" s="8" customFormat="1" x14ac:dyDescent="0.25">
      <c r="A184" s="3"/>
      <c r="B184" s="10"/>
      <c r="C184" s="10"/>
      <c r="D184" s="10"/>
      <c r="E184" s="10"/>
      <c r="F184" s="3"/>
      <c r="G184" s="3"/>
      <c r="H184" s="3"/>
    </row>
    <row r="185" spans="1:8" s="8" customFormat="1" x14ac:dyDescent="0.25">
      <c r="A185" s="3"/>
      <c r="B185" s="10"/>
      <c r="C185" s="10"/>
      <c r="D185" s="10"/>
      <c r="E185" s="10"/>
      <c r="F185" s="3"/>
      <c r="G185" s="3"/>
      <c r="H185" s="3"/>
    </row>
    <row r="186" spans="1:8" s="8" customFormat="1" x14ac:dyDescent="0.25">
      <c r="A186" s="3"/>
      <c r="B186" s="10"/>
      <c r="C186" s="10"/>
      <c r="D186" s="10"/>
      <c r="E186" s="10"/>
      <c r="F186" s="3"/>
      <c r="G186" s="3"/>
      <c r="H186" s="3"/>
    </row>
    <row r="187" spans="1:8" s="8" customFormat="1" x14ac:dyDescent="0.25">
      <c r="A187" s="3"/>
      <c r="B187" s="10"/>
      <c r="C187" s="10"/>
      <c r="D187" s="10"/>
      <c r="E187" s="10"/>
      <c r="F187" s="3"/>
      <c r="G187" s="3"/>
      <c r="H187" s="3"/>
    </row>
    <row r="188" spans="1:8" s="8" customFormat="1" x14ac:dyDescent="0.25">
      <c r="A188" s="3"/>
      <c r="B188" s="10"/>
      <c r="C188" s="10"/>
      <c r="D188" s="10"/>
      <c r="E188" s="10"/>
      <c r="F188" s="3"/>
      <c r="G188" s="3"/>
      <c r="H188" s="3"/>
    </row>
    <row r="189" spans="1:8" s="8" customFormat="1" x14ac:dyDescent="0.25">
      <c r="A189" s="3"/>
      <c r="B189" s="10"/>
      <c r="C189" s="10"/>
      <c r="D189" s="10"/>
      <c r="E189" s="10"/>
      <c r="F189" s="3"/>
      <c r="G189" s="3"/>
      <c r="H189" s="3"/>
    </row>
    <row r="190" spans="1:8" s="8" customFormat="1" x14ac:dyDescent="0.25">
      <c r="A190" s="3"/>
      <c r="B190" s="10"/>
      <c r="C190" s="10"/>
      <c r="D190" s="10"/>
      <c r="E190" s="10"/>
      <c r="F190" s="3"/>
      <c r="G190" s="3"/>
      <c r="H190" s="3"/>
    </row>
    <row r="191" spans="1:8" s="8" customFormat="1" x14ac:dyDescent="0.25">
      <c r="A191" s="3"/>
      <c r="B191" s="10"/>
      <c r="C191" s="10"/>
      <c r="D191" s="10"/>
      <c r="E191" s="10"/>
      <c r="F191" s="3"/>
      <c r="G191" s="3"/>
      <c r="H191" s="3"/>
    </row>
    <row r="192" spans="1:8" s="8" customFormat="1" x14ac:dyDescent="0.25">
      <c r="A192" s="3"/>
      <c r="B192" s="10"/>
      <c r="C192" s="10"/>
      <c r="D192" s="10"/>
      <c r="E192" s="10"/>
      <c r="F192" s="3"/>
      <c r="G192" s="3"/>
      <c r="H192" s="3"/>
    </row>
    <row r="193" spans="1:8" s="8" customFormat="1" x14ac:dyDescent="0.25">
      <c r="A193" s="3"/>
      <c r="B193" s="10"/>
      <c r="C193" s="10"/>
      <c r="D193" s="10"/>
      <c r="E193" s="10"/>
      <c r="F193" s="3"/>
      <c r="G193" s="3"/>
      <c r="H193" s="3"/>
    </row>
    <row r="194" spans="1:8" s="8" customFormat="1" x14ac:dyDescent="0.25">
      <c r="A194" s="3"/>
      <c r="B194" s="10"/>
      <c r="C194" s="10"/>
      <c r="D194" s="10"/>
      <c r="E194" s="10"/>
      <c r="F194" s="3"/>
      <c r="G194" s="3"/>
      <c r="H194" s="3"/>
    </row>
    <row r="195" spans="1:8" s="8" customFormat="1" x14ac:dyDescent="0.25">
      <c r="A195" s="3"/>
      <c r="B195" s="10"/>
      <c r="C195" s="10"/>
      <c r="D195" s="10"/>
      <c r="E195" s="10"/>
      <c r="F195" s="3"/>
      <c r="G195" s="3"/>
      <c r="H195" s="3"/>
    </row>
    <row r="196" spans="1:8" s="8" customFormat="1" x14ac:dyDescent="0.25">
      <c r="A196" s="3"/>
      <c r="B196" s="10"/>
      <c r="C196" s="10"/>
      <c r="D196" s="10"/>
      <c r="E196" s="10"/>
      <c r="F196" s="3"/>
      <c r="G196" s="3"/>
      <c r="H196" s="3"/>
    </row>
    <row r="197" spans="1:8" s="8" customFormat="1" x14ac:dyDescent="0.25">
      <c r="A197" s="3"/>
      <c r="B197" s="10"/>
      <c r="C197" s="10"/>
      <c r="D197" s="10"/>
      <c r="E197" s="10"/>
      <c r="F197" s="3"/>
      <c r="G197" s="3"/>
      <c r="H197" s="3"/>
    </row>
    <row r="198" spans="1:8" s="8" customFormat="1" x14ac:dyDescent="0.25">
      <c r="A198" s="3"/>
      <c r="B198" s="10"/>
      <c r="C198" s="10"/>
      <c r="D198" s="10"/>
      <c r="E198" s="10"/>
      <c r="F198" s="3"/>
      <c r="G198" s="3"/>
      <c r="H198" s="3"/>
    </row>
    <row r="199" spans="1:8" s="8" customFormat="1" x14ac:dyDescent="0.25">
      <c r="A199" s="3"/>
      <c r="B199" s="10"/>
      <c r="C199" s="10"/>
      <c r="D199" s="10"/>
      <c r="E199" s="10"/>
      <c r="F199" s="3"/>
      <c r="G199" s="3"/>
      <c r="H199" s="3"/>
    </row>
    <row r="200" spans="1:8" s="8" customFormat="1" x14ac:dyDescent="0.25">
      <c r="A200" s="3"/>
      <c r="B200" s="10"/>
      <c r="C200" s="10"/>
      <c r="D200" s="10"/>
      <c r="E200" s="10"/>
      <c r="F200" s="3"/>
      <c r="G200" s="3"/>
      <c r="H200" s="3"/>
    </row>
    <row r="201" spans="1:8" s="8" customFormat="1" x14ac:dyDescent="0.25">
      <c r="A201" s="3"/>
      <c r="B201" s="10"/>
      <c r="C201" s="10"/>
      <c r="D201" s="10"/>
      <c r="E201" s="10"/>
      <c r="F201" s="3"/>
      <c r="G201" s="3"/>
      <c r="H201" s="3"/>
    </row>
    <row r="202" spans="1:8" s="8" customFormat="1" x14ac:dyDescent="0.25">
      <c r="A202" s="3"/>
      <c r="B202" s="10"/>
      <c r="C202" s="10"/>
      <c r="D202" s="10"/>
      <c r="E202" s="10"/>
      <c r="F202" s="3"/>
      <c r="G202" s="3"/>
      <c r="H202" s="3"/>
    </row>
    <row r="203" spans="1:8" s="8" customFormat="1" x14ac:dyDescent="0.25">
      <c r="A203" s="3"/>
      <c r="B203" s="10"/>
      <c r="C203" s="10"/>
      <c r="D203" s="10"/>
      <c r="E203" s="10"/>
      <c r="F203" s="3"/>
      <c r="G203" s="3"/>
      <c r="H203" s="3"/>
    </row>
    <row r="204" spans="1:8" s="8" customFormat="1" x14ac:dyDescent="0.25">
      <c r="A204" s="3"/>
      <c r="B204" s="10"/>
      <c r="C204" s="10"/>
      <c r="D204" s="10"/>
      <c r="E204" s="10"/>
      <c r="F204" s="3"/>
      <c r="G204" s="3"/>
      <c r="H204" s="3"/>
    </row>
    <row r="205" spans="1:8" s="8" customFormat="1" x14ac:dyDescent="0.25">
      <c r="A205" s="3"/>
      <c r="B205" s="10"/>
      <c r="C205" s="10"/>
      <c r="D205" s="10"/>
      <c r="E205" s="10"/>
      <c r="F205" s="3"/>
      <c r="G205" s="3"/>
      <c r="H205" s="3"/>
    </row>
    <row r="206" spans="1:8" s="8" customFormat="1" x14ac:dyDescent="0.25">
      <c r="A206" s="3"/>
      <c r="B206" s="10"/>
      <c r="C206" s="10"/>
      <c r="D206" s="10"/>
      <c r="E206" s="10"/>
      <c r="F206" s="3"/>
      <c r="G206" s="3"/>
      <c r="H206" s="3"/>
    </row>
    <row r="207" spans="1:8" s="8" customFormat="1" x14ac:dyDescent="0.25">
      <c r="A207" s="3"/>
      <c r="B207" s="10"/>
      <c r="C207" s="10"/>
      <c r="D207" s="10"/>
      <c r="E207" s="10"/>
      <c r="F207" s="3"/>
      <c r="G207" s="3"/>
      <c r="H207" s="3"/>
    </row>
    <row r="208" spans="1:8" s="8" customFormat="1" x14ac:dyDescent="0.25">
      <c r="A208" s="3"/>
      <c r="B208" s="10"/>
      <c r="C208" s="10"/>
      <c r="D208" s="10"/>
      <c r="E208" s="10"/>
      <c r="F208" s="3"/>
      <c r="G208" s="3"/>
      <c r="H208" s="3"/>
    </row>
    <row r="209" spans="1:8" s="8" customFormat="1" x14ac:dyDescent="0.25">
      <c r="A209" s="3"/>
      <c r="B209" s="10"/>
      <c r="C209" s="10"/>
      <c r="D209" s="10"/>
      <c r="E209" s="10"/>
      <c r="F209" s="3"/>
      <c r="G209" s="3"/>
      <c r="H209" s="3"/>
    </row>
    <row r="210" spans="1:8" s="8" customFormat="1" x14ac:dyDescent="0.25">
      <c r="A210" s="3"/>
      <c r="B210" s="10"/>
      <c r="C210" s="10"/>
      <c r="D210" s="10"/>
      <c r="E210" s="10"/>
      <c r="F210" s="3"/>
      <c r="G210" s="3"/>
      <c r="H210" s="3"/>
    </row>
    <row r="211" spans="1:8" s="8" customFormat="1" x14ac:dyDescent="0.25">
      <c r="A211" s="3"/>
      <c r="B211" s="10"/>
      <c r="C211" s="10"/>
      <c r="D211" s="10"/>
      <c r="E211" s="10"/>
      <c r="F211" s="3"/>
      <c r="G211" s="3"/>
      <c r="H211" s="3"/>
    </row>
    <row r="212" spans="1:8" s="8" customFormat="1" x14ac:dyDescent="0.25">
      <c r="A212" s="3"/>
      <c r="B212" s="10"/>
      <c r="C212" s="10"/>
      <c r="D212" s="10"/>
      <c r="E212" s="10"/>
      <c r="F212" s="3"/>
      <c r="G212" s="3"/>
      <c r="H212" s="3"/>
    </row>
    <row r="213" spans="1:8" s="8" customFormat="1" x14ac:dyDescent="0.25">
      <c r="A213" s="3"/>
      <c r="B213" s="10"/>
      <c r="C213" s="10"/>
      <c r="D213" s="10"/>
      <c r="E213" s="10"/>
      <c r="F213" s="3"/>
      <c r="G213" s="3"/>
      <c r="H213" s="3"/>
    </row>
    <row r="214" spans="1:8" s="8" customFormat="1" x14ac:dyDescent="0.25">
      <c r="A214" s="3"/>
      <c r="B214" s="10"/>
      <c r="C214" s="10"/>
      <c r="D214" s="10"/>
      <c r="E214" s="10"/>
      <c r="F214" s="3"/>
      <c r="G214" s="3"/>
      <c r="H214" s="3"/>
    </row>
    <row r="215" spans="1:8" s="8" customFormat="1" x14ac:dyDescent="0.25">
      <c r="A215" s="3"/>
      <c r="B215" s="10"/>
      <c r="C215" s="10"/>
      <c r="D215" s="10"/>
      <c r="E215" s="10"/>
      <c r="F215" s="3"/>
      <c r="G215" s="3"/>
      <c r="H215" s="3"/>
    </row>
    <row r="216" spans="1:8" s="8" customFormat="1" x14ac:dyDescent="0.25">
      <c r="A216" s="3"/>
      <c r="B216" s="10"/>
      <c r="C216" s="10"/>
      <c r="D216" s="10"/>
      <c r="E216" s="10"/>
      <c r="F216" s="3"/>
      <c r="G216" s="3"/>
      <c r="H216" s="3"/>
    </row>
    <row r="217" spans="1:8" s="8" customFormat="1" x14ac:dyDescent="0.25">
      <c r="A217" s="3"/>
      <c r="B217" s="10"/>
      <c r="C217" s="10"/>
      <c r="D217" s="10"/>
      <c r="E217" s="10"/>
      <c r="F217" s="3"/>
      <c r="G217" s="3"/>
      <c r="H217" s="3"/>
    </row>
    <row r="218" spans="1:8" s="8" customFormat="1" x14ac:dyDescent="0.25">
      <c r="A218" s="3"/>
      <c r="B218" s="10"/>
      <c r="C218" s="10"/>
      <c r="D218" s="10"/>
      <c r="E218" s="10"/>
      <c r="F218" s="3"/>
      <c r="G218" s="3"/>
      <c r="H218" s="3"/>
    </row>
    <row r="219" spans="1:8" s="8" customFormat="1" x14ac:dyDescent="0.25">
      <c r="A219" s="3"/>
      <c r="B219" s="10"/>
      <c r="C219" s="10"/>
      <c r="D219" s="10"/>
      <c r="E219" s="10"/>
      <c r="F219" s="3"/>
      <c r="G219" s="3"/>
      <c r="H219" s="3"/>
    </row>
    <row r="220" spans="1:8" s="8" customFormat="1" x14ac:dyDescent="0.25">
      <c r="A220" s="3"/>
      <c r="B220" s="10"/>
      <c r="C220" s="10"/>
      <c r="D220" s="10"/>
      <c r="E220" s="10"/>
      <c r="F220" s="3"/>
      <c r="G220" s="3"/>
      <c r="H220" s="3"/>
    </row>
    <row r="221" spans="1:8" s="8" customFormat="1" x14ac:dyDescent="0.25">
      <c r="A221" s="3"/>
      <c r="B221" s="10"/>
      <c r="C221" s="10"/>
      <c r="D221" s="10"/>
      <c r="E221" s="10"/>
      <c r="F221" s="3"/>
      <c r="G221" s="3"/>
      <c r="H221" s="3"/>
    </row>
    <row r="222" spans="1:8" s="8" customFormat="1" x14ac:dyDescent="0.25">
      <c r="A222" s="3"/>
      <c r="B222" s="10"/>
      <c r="C222" s="10"/>
      <c r="D222" s="10"/>
      <c r="E222" s="10"/>
      <c r="F222" s="3"/>
      <c r="G222" s="3"/>
      <c r="H222" s="3"/>
    </row>
    <row r="223" spans="1:8" s="8" customFormat="1" x14ac:dyDescent="0.25">
      <c r="A223" s="3"/>
      <c r="B223" s="10"/>
      <c r="C223" s="10"/>
      <c r="D223" s="10"/>
      <c r="E223" s="10"/>
      <c r="F223" s="3"/>
      <c r="G223" s="3"/>
      <c r="H223" s="3"/>
    </row>
  </sheetData>
  <sheetProtection algorithmName="SHA-512" hashValue="qaCSa5Kt/0KJgcghylIOSGWN0WUDuGNiTeZGuKOWULtedmw7DekKA015dbAkB7NbLOjl40mbJ3f0cJDTiMbqzg==" saltValue="ZklpXl1R5Kjcf5avIcqORQ==" spinCount="100000" sheet="1" objects="1" scenarios="1" selectLockedCells="1"/>
  <mergeCells count="1">
    <mergeCell ref="A1:H2"/>
  </mergeCells>
  <pageMargins left="4.0551181102362204" right="0.70866141732283472" top="0.74803149606299213" bottom="0" header="0.31496062992125984" footer="0.31496062992125984"/>
  <pageSetup paperSize="8" orientation="landscape"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23"/>
  <sheetViews>
    <sheetView showGridLines="0" zoomScaleNormal="100" workbookViewId="0">
      <selection activeCell="E4" sqref="E4"/>
    </sheetView>
  </sheetViews>
  <sheetFormatPr defaultColWidth="8.85546875" defaultRowHeight="11.25" outlineLevelCol="1" x14ac:dyDescent="0.25"/>
  <cols>
    <col min="1" max="1" width="6.7109375" style="3" customWidth="1"/>
    <col min="2" max="2" width="22.28515625" style="10" customWidth="1"/>
    <col min="3" max="3" width="15.140625" style="10" bestFit="1" customWidth="1"/>
    <col min="4" max="4" width="8.28515625" style="3" customWidth="1"/>
    <col min="5" max="5" width="15.85546875" style="133" customWidth="1"/>
    <col min="6" max="6" width="16" style="133" customWidth="1"/>
    <col min="7" max="7" width="8.85546875" style="3"/>
    <col min="8" max="9" width="8.85546875" style="3" hidden="1" customWidth="1" outlineLevel="1"/>
    <col min="10" max="10" width="8.85546875" style="3" collapsed="1"/>
    <col min="11" max="16384" width="8.85546875" style="3"/>
  </cols>
  <sheetData>
    <row r="1" spans="1:9" ht="12" customHeight="1" x14ac:dyDescent="0.25">
      <c r="A1" s="289" t="s">
        <v>1074</v>
      </c>
      <c r="B1" s="289"/>
      <c r="C1" s="289"/>
      <c r="D1" s="289"/>
      <c r="E1" s="289"/>
      <c r="F1" s="289"/>
    </row>
    <row r="2" spans="1:9" ht="12" customHeight="1" x14ac:dyDescent="0.25">
      <c r="A2" s="289"/>
      <c r="B2" s="289"/>
      <c r="C2" s="289"/>
      <c r="D2" s="289"/>
      <c r="E2" s="289"/>
      <c r="F2" s="289"/>
    </row>
    <row r="3" spans="1:9" s="7" customFormat="1" ht="31.5" x14ac:dyDescent="0.25">
      <c r="A3" s="7" t="s">
        <v>1119</v>
      </c>
      <c r="B3" s="7" t="s">
        <v>539</v>
      </c>
      <c r="C3" s="7" t="s">
        <v>540</v>
      </c>
      <c r="D3" s="7" t="s">
        <v>1132</v>
      </c>
      <c r="E3" s="187" t="s">
        <v>1385</v>
      </c>
      <c r="F3" s="132" t="s">
        <v>1386</v>
      </c>
      <c r="H3" s="7" t="s">
        <v>1329</v>
      </c>
      <c r="I3" s="7" t="s">
        <v>1328</v>
      </c>
    </row>
    <row r="4" spans="1:9" s="8" customFormat="1" ht="22.5" x14ac:dyDescent="0.25">
      <c r="A4" s="253" t="s">
        <v>4</v>
      </c>
      <c r="B4" s="254" t="s">
        <v>795</v>
      </c>
      <c r="C4" s="254" t="s">
        <v>796</v>
      </c>
      <c r="D4" s="253">
        <v>15</v>
      </c>
      <c r="E4" s="237"/>
      <c r="F4" s="236">
        <f>Saúde_Instrum_Speed_Graph_Internet[[#This Row],[VALOR UNID]]*Saúde_Instrum_Dados[[#This Row],[QUANT]]</f>
        <v>0</v>
      </c>
      <c r="H4" s="8">
        <f>Saúde_Instrum_Speed_Graph_Internet[[#This Row],[VALOR UNID]]</f>
        <v>0</v>
      </c>
      <c r="I4" s="8" t="e">
        <f>#REF!</f>
        <v>#REF!</v>
      </c>
    </row>
    <row r="5" spans="1:9" s="8" customFormat="1" ht="22.5" x14ac:dyDescent="0.25">
      <c r="A5" s="22" t="s">
        <v>9</v>
      </c>
      <c r="B5" s="21" t="s">
        <v>797</v>
      </c>
      <c r="C5" s="21" t="s">
        <v>796</v>
      </c>
      <c r="D5" s="22">
        <v>15</v>
      </c>
      <c r="E5" s="171"/>
      <c r="F5" s="15">
        <f>Saúde_Instrum_Speed_Graph_Internet[[#This Row],[VALOR UNID]]*Saúde_Instrum_Dados[[#This Row],[QUANT]]</f>
        <v>0</v>
      </c>
      <c r="H5" s="8">
        <f>Saúde_Instrum_Speed_Graph_Internet[[#This Row],[VALOR UNID]]</f>
        <v>0</v>
      </c>
      <c r="I5" s="8" t="e">
        <f>#REF!</f>
        <v>#REF!</v>
      </c>
    </row>
    <row r="6" spans="1:9" s="8" customFormat="1" ht="22.5" x14ac:dyDescent="0.25">
      <c r="A6" s="253" t="s">
        <v>12</v>
      </c>
      <c r="B6" s="254" t="s">
        <v>798</v>
      </c>
      <c r="C6" s="254" t="s">
        <v>796</v>
      </c>
      <c r="D6" s="253">
        <v>15</v>
      </c>
      <c r="E6" s="237"/>
      <c r="F6" s="236">
        <f>Saúde_Instrum_Speed_Graph_Internet[[#This Row],[VALOR UNID]]*Saúde_Instrum_Dados[[#This Row],[QUANT]]</f>
        <v>0</v>
      </c>
      <c r="H6" s="8">
        <f>Saúde_Instrum_Speed_Graph_Internet[[#This Row],[VALOR UNID]]</f>
        <v>0</v>
      </c>
      <c r="I6" s="8" t="e">
        <f>#REF!</f>
        <v>#REF!</v>
      </c>
    </row>
    <row r="7" spans="1:9" s="8" customFormat="1" ht="22.5" x14ac:dyDescent="0.25">
      <c r="A7" s="22" t="s">
        <v>15</v>
      </c>
      <c r="B7" s="21" t="s">
        <v>799</v>
      </c>
      <c r="C7" s="21" t="s">
        <v>796</v>
      </c>
      <c r="D7" s="22">
        <v>15</v>
      </c>
      <c r="E7" s="171"/>
      <c r="F7" s="15">
        <f>Saúde_Instrum_Speed_Graph_Internet[[#This Row],[VALOR UNID]]*Saúde_Instrum_Dados[[#This Row],[QUANT]]</f>
        <v>0</v>
      </c>
      <c r="H7" s="8">
        <f>Saúde_Instrum_Speed_Graph_Internet[[#This Row],[VALOR UNID]]</f>
        <v>0</v>
      </c>
      <c r="I7" s="8" t="e">
        <f>#REF!</f>
        <v>#REF!</v>
      </c>
    </row>
    <row r="8" spans="1:9" s="8" customFormat="1" ht="22.5" x14ac:dyDescent="0.25">
      <c r="A8" s="253" t="s">
        <v>18</v>
      </c>
      <c r="B8" s="254" t="s">
        <v>800</v>
      </c>
      <c r="C8" s="254" t="s">
        <v>796</v>
      </c>
      <c r="D8" s="253">
        <v>1</v>
      </c>
      <c r="E8" s="237"/>
      <c r="F8" s="236">
        <f>Saúde_Instrum_Speed_Graph_Internet[[#This Row],[VALOR UNID]]*Saúde_Instrum_Dados[[#This Row],[QUANT]]</f>
        <v>0</v>
      </c>
      <c r="H8" s="8">
        <f>Saúde_Instrum_Speed_Graph_Internet[[#This Row],[VALOR UNID]]</f>
        <v>0</v>
      </c>
      <c r="I8" s="8" t="e">
        <f>#REF!</f>
        <v>#REF!</v>
      </c>
    </row>
    <row r="9" spans="1:9" s="8" customFormat="1" ht="22.5" x14ac:dyDescent="0.25">
      <c r="A9" s="22" t="s">
        <v>21</v>
      </c>
      <c r="B9" s="21" t="s">
        <v>1326</v>
      </c>
      <c r="C9" s="21" t="s">
        <v>796</v>
      </c>
      <c r="D9" s="22">
        <v>15</v>
      </c>
      <c r="E9" s="171"/>
      <c r="F9" s="15">
        <f>Saúde_Instrum_Speed_Graph_Internet[[#This Row],[VALOR UNID]]*Saúde_Instrum_Dados[[#This Row],[QUANT]]</f>
        <v>0</v>
      </c>
      <c r="H9" s="8">
        <f>Saúde_Instrum_Speed_Graph_Internet[[#This Row],[VALOR UNID]]</f>
        <v>0</v>
      </c>
      <c r="I9" s="8" t="e">
        <f>#REF!</f>
        <v>#REF!</v>
      </c>
    </row>
    <row r="10" spans="1:9" s="8" customFormat="1" ht="22.5" x14ac:dyDescent="0.25">
      <c r="A10" s="253" t="s">
        <v>24</v>
      </c>
      <c r="B10" s="254" t="s">
        <v>801</v>
      </c>
      <c r="C10" s="254" t="s">
        <v>796</v>
      </c>
      <c r="D10" s="253">
        <v>15</v>
      </c>
      <c r="E10" s="237"/>
      <c r="F10" s="236">
        <f>Saúde_Instrum_Speed_Graph_Internet[[#This Row],[VALOR UNID]]*Saúde_Instrum_Dados[[#This Row],[QUANT]]</f>
        <v>0</v>
      </c>
      <c r="H10" s="8">
        <f>Saúde_Instrum_Speed_Graph_Internet[[#This Row],[VALOR UNID]]</f>
        <v>0</v>
      </c>
      <c r="I10" s="8" t="e">
        <f>#REF!</f>
        <v>#REF!</v>
      </c>
    </row>
    <row r="11" spans="1:9" s="8" customFormat="1" ht="22.5" x14ac:dyDescent="0.25">
      <c r="A11" s="22" t="s">
        <v>28</v>
      </c>
      <c r="B11" s="21" t="s">
        <v>802</v>
      </c>
      <c r="C11" s="21" t="s">
        <v>796</v>
      </c>
      <c r="D11" s="22">
        <v>15</v>
      </c>
      <c r="E11" s="171"/>
      <c r="F11" s="15">
        <f>Saúde_Instrum_Speed_Graph_Internet[[#This Row],[VALOR UNID]]*Saúde_Instrum_Dados[[#This Row],[QUANT]]</f>
        <v>0</v>
      </c>
      <c r="H11" s="8">
        <f>Saúde_Instrum_Speed_Graph_Internet[[#This Row],[VALOR UNID]]</f>
        <v>0</v>
      </c>
      <c r="I11" s="8" t="e">
        <f>#REF!</f>
        <v>#REF!</v>
      </c>
    </row>
    <row r="12" spans="1:9" s="8" customFormat="1" ht="22.5" x14ac:dyDescent="0.25">
      <c r="A12" s="253" t="s">
        <v>29</v>
      </c>
      <c r="B12" s="254" t="s">
        <v>1327</v>
      </c>
      <c r="C12" s="254" t="s">
        <v>796</v>
      </c>
      <c r="D12" s="253">
        <v>15</v>
      </c>
      <c r="E12" s="237"/>
      <c r="F12" s="236">
        <f>Saúde_Instrum_Speed_Graph_Internet[[#This Row],[VALOR UNID]]*Saúde_Instrum_Dados[[#This Row],[QUANT]]</f>
        <v>0</v>
      </c>
      <c r="H12" s="8">
        <f>Saúde_Instrum_Speed_Graph_Internet[[#This Row],[VALOR UNID]]</f>
        <v>0</v>
      </c>
      <c r="I12" s="8" t="e">
        <f>#REF!</f>
        <v>#REF!</v>
      </c>
    </row>
    <row r="13" spans="1:9" s="8" customFormat="1" ht="22.5" x14ac:dyDescent="0.25">
      <c r="A13" s="22" t="s">
        <v>31</v>
      </c>
      <c r="B13" s="21" t="s">
        <v>803</v>
      </c>
      <c r="C13" s="21" t="s">
        <v>796</v>
      </c>
      <c r="D13" s="22">
        <v>15</v>
      </c>
      <c r="E13" s="171"/>
      <c r="F13" s="15">
        <f>Saúde_Instrum_Speed_Graph_Internet[[#This Row],[VALOR UNID]]*Saúde_Instrum_Dados[[#This Row],[QUANT]]</f>
        <v>0</v>
      </c>
      <c r="H13" s="8">
        <f>Saúde_Instrum_Speed_Graph_Internet[[#This Row],[VALOR UNID]]</f>
        <v>0</v>
      </c>
      <c r="I13" s="8" t="e">
        <f>#REF!</f>
        <v>#REF!</v>
      </c>
    </row>
    <row r="14" spans="1:9" s="8" customFormat="1" ht="22.5" x14ac:dyDescent="0.25">
      <c r="A14" s="253" t="s">
        <v>35</v>
      </c>
      <c r="B14" s="254" t="s">
        <v>804</v>
      </c>
      <c r="C14" s="254" t="s">
        <v>796</v>
      </c>
      <c r="D14" s="253">
        <v>15</v>
      </c>
      <c r="E14" s="237"/>
      <c r="F14" s="236">
        <f>Saúde_Instrum_Speed_Graph_Internet[[#This Row],[VALOR UNID]]*Saúde_Instrum_Dados[[#This Row],[QUANT]]</f>
        <v>0</v>
      </c>
      <c r="H14" s="8">
        <f>Saúde_Instrum_Speed_Graph_Internet[[#This Row],[VALOR UNID]]</f>
        <v>0</v>
      </c>
      <c r="I14" s="8" t="e">
        <f>#REF!</f>
        <v>#REF!</v>
      </c>
    </row>
    <row r="15" spans="1:9" s="8" customFormat="1" ht="22.5" x14ac:dyDescent="0.25">
      <c r="A15" s="22" t="s">
        <v>37</v>
      </c>
      <c r="B15" s="21" t="s">
        <v>805</v>
      </c>
      <c r="C15" s="21" t="s">
        <v>796</v>
      </c>
      <c r="D15" s="22">
        <v>15</v>
      </c>
      <c r="E15" s="171"/>
      <c r="F15" s="15">
        <f>Saúde_Instrum_Speed_Graph_Internet[[#This Row],[VALOR UNID]]*Saúde_Instrum_Dados[[#This Row],[QUANT]]</f>
        <v>0</v>
      </c>
      <c r="H15" s="8">
        <f>Saúde_Instrum_Speed_Graph_Internet[[#This Row],[VALOR UNID]]</f>
        <v>0</v>
      </c>
      <c r="I15" s="8" t="e">
        <f>#REF!</f>
        <v>#REF!</v>
      </c>
    </row>
    <row r="16" spans="1:9" s="8" customFormat="1" ht="22.5" x14ac:dyDescent="0.25">
      <c r="A16" s="253" t="s">
        <v>41</v>
      </c>
      <c r="B16" s="254" t="s">
        <v>806</v>
      </c>
      <c r="C16" s="254" t="s">
        <v>796</v>
      </c>
      <c r="D16" s="253">
        <v>15</v>
      </c>
      <c r="E16" s="237"/>
      <c r="F16" s="236">
        <f>Saúde_Instrum_Speed_Graph_Internet[[#This Row],[VALOR UNID]]*Saúde_Instrum_Dados[[#This Row],[QUANT]]</f>
        <v>0</v>
      </c>
      <c r="H16" s="8">
        <f>Saúde_Instrum_Speed_Graph_Internet[[#This Row],[VALOR UNID]]</f>
        <v>0</v>
      </c>
      <c r="I16" s="8" t="e">
        <f>#REF!</f>
        <v>#REF!</v>
      </c>
    </row>
    <row r="17" spans="1:9" s="8" customFormat="1" ht="22.5" x14ac:dyDescent="0.25">
      <c r="A17" s="22" t="s">
        <v>43</v>
      </c>
      <c r="B17" s="21" t="s">
        <v>807</v>
      </c>
      <c r="C17" s="21" t="s">
        <v>796</v>
      </c>
      <c r="D17" s="22">
        <v>15</v>
      </c>
      <c r="E17" s="171"/>
      <c r="F17" s="15">
        <f>Saúde_Instrum_Speed_Graph_Internet[[#This Row],[VALOR UNID]]*Saúde_Instrum_Dados[[#This Row],[QUANT]]</f>
        <v>0</v>
      </c>
      <c r="H17" s="8">
        <f>Saúde_Instrum_Speed_Graph_Internet[[#This Row],[VALOR UNID]]</f>
        <v>0</v>
      </c>
      <c r="I17" s="8" t="e">
        <f>#REF!</f>
        <v>#REF!</v>
      </c>
    </row>
    <row r="18" spans="1:9" s="8" customFormat="1" ht="22.5" x14ac:dyDescent="0.25">
      <c r="A18" s="253" t="s">
        <v>46</v>
      </c>
      <c r="B18" s="254" t="s">
        <v>808</v>
      </c>
      <c r="C18" s="254" t="s">
        <v>796</v>
      </c>
      <c r="D18" s="253">
        <v>15</v>
      </c>
      <c r="E18" s="237"/>
      <c r="F18" s="236">
        <f>Saúde_Instrum_Speed_Graph_Internet[[#This Row],[VALOR UNID]]*Saúde_Instrum_Dados[[#This Row],[QUANT]]</f>
        <v>0</v>
      </c>
      <c r="H18" s="8">
        <f>Saúde_Instrum_Speed_Graph_Internet[[#This Row],[VALOR UNID]]</f>
        <v>0</v>
      </c>
      <c r="I18" s="8" t="e">
        <f>#REF!</f>
        <v>#REF!</v>
      </c>
    </row>
    <row r="19" spans="1:9" s="8" customFormat="1" ht="22.5" x14ac:dyDescent="0.25">
      <c r="A19" s="22" t="s">
        <v>49</v>
      </c>
      <c r="B19" s="21" t="s">
        <v>809</v>
      </c>
      <c r="C19" s="21" t="s">
        <v>796</v>
      </c>
      <c r="D19" s="22">
        <v>15</v>
      </c>
      <c r="E19" s="171"/>
      <c r="F19" s="15">
        <f>Saúde_Instrum_Speed_Graph_Internet[[#This Row],[VALOR UNID]]*Saúde_Instrum_Dados[[#This Row],[QUANT]]</f>
        <v>0</v>
      </c>
      <c r="H19" s="8">
        <f>Saúde_Instrum_Speed_Graph_Internet[[#This Row],[VALOR UNID]]</f>
        <v>0</v>
      </c>
      <c r="I19" s="8" t="e">
        <f>#REF!</f>
        <v>#REF!</v>
      </c>
    </row>
    <row r="20" spans="1:9" s="8" customFormat="1" ht="22.5" x14ac:dyDescent="0.25">
      <c r="A20" s="253" t="s">
        <v>53</v>
      </c>
      <c r="B20" s="254" t="s">
        <v>810</v>
      </c>
      <c r="C20" s="254" t="s">
        <v>796</v>
      </c>
      <c r="D20" s="253">
        <v>15</v>
      </c>
      <c r="E20" s="237"/>
      <c r="F20" s="236">
        <f>Saúde_Instrum_Speed_Graph_Internet[[#This Row],[VALOR UNID]]*Saúde_Instrum_Dados[[#This Row],[QUANT]]</f>
        <v>0</v>
      </c>
      <c r="H20" s="8">
        <f>Saúde_Instrum_Speed_Graph_Internet[[#This Row],[VALOR UNID]]</f>
        <v>0</v>
      </c>
      <c r="I20" s="8" t="e">
        <f>#REF!</f>
        <v>#REF!</v>
      </c>
    </row>
    <row r="21" spans="1:9" s="8" customFormat="1" ht="22.5" x14ac:dyDescent="0.25">
      <c r="A21" s="22" t="s">
        <v>57</v>
      </c>
      <c r="B21" s="21" t="s">
        <v>811</v>
      </c>
      <c r="C21" s="21" t="s">
        <v>796</v>
      </c>
      <c r="D21" s="22">
        <v>15</v>
      </c>
      <c r="E21" s="171"/>
      <c r="F21" s="15">
        <f>Saúde_Instrum_Speed_Graph_Internet[[#This Row],[VALOR UNID]]*Saúde_Instrum_Dados[[#This Row],[QUANT]]</f>
        <v>0</v>
      </c>
      <c r="H21" s="8">
        <f>Saúde_Instrum_Speed_Graph_Internet[[#This Row],[VALOR UNID]]</f>
        <v>0</v>
      </c>
      <c r="I21" s="8" t="e">
        <f>#REF!</f>
        <v>#REF!</v>
      </c>
    </row>
    <row r="22" spans="1:9" s="8" customFormat="1" ht="22.5" x14ac:dyDescent="0.25">
      <c r="A22" s="253" t="s">
        <v>59</v>
      </c>
      <c r="B22" s="254" t="s">
        <v>812</v>
      </c>
      <c r="C22" s="254" t="s">
        <v>796</v>
      </c>
      <c r="D22" s="253">
        <v>15</v>
      </c>
      <c r="E22" s="237"/>
      <c r="F22" s="236">
        <f>Saúde_Instrum_Speed_Graph_Internet[[#This Row],[VALOR UNID]]*Saúde_Instrum_Dados[[#This Row],[QUANT]]</f>
        <v>0</v>
      </c>
      <c r="H22" s="8">
        <f>Saúde_Instrum_Speed_Graph_Internet[[#This Row],[VALOR UNID]]</f>
        <v>0</v>
      </c>
      <c r="I22" s="8" t="e">
        <f>#REF!</f>
        <v>#REF!</v>
      </c>
    </row>
    <row r="23" spans="1:9" s="8" customFormat="1" ht="22.5" x14ac:dyDescent="0.25">
      <c r="A23" s="22" t="s">
        <v>62</v>
      </c>
      <c r="B23" s="21" t="s">
        <v>813</v>
      </c>
      <c r="C23" s="21" t="s">
        <v>796</v>
      </c>
      <c r="D23" s="22">
        <v>15</v>
      </c>
      <c r="E23" s="171"/>
      <c r="F23" s="15">
        <f>Saúde_Instrum_Speed_Graph_Internet[[#This Row],[VALOR UNID]]*Saúde_Instrum_Dados[[#This Row],[QUANT]]</f>
        <v>0</v>
      </c>
      <c r="H23" s="8">
        <f>Saúde_Instrum_Speed_Graph_Internet[[#This Row],[VALOR UNID]]</f>
        <v>0</v>
      </c>
      <c r="I23" s="8" t="e">
        <f>#REF!</f>
        <v>#REF!</v>
      </c>
    </row>
    <row r="24" spans="1:9" s="8" customFormat="1" x14ac:dyDescent="0.25">
      <c r="A24" s="22"/>
      <c r="B24" s="21"/>
      <c r="C24" s="21"/>
      <c r="D24" s="22">
        <f t="shared" ref="D24" si="0">SUBTOTAL(109,D4:D23)</f>
        <v>286</v>
      </c>
      <c r="E24" s="15"/>
      <c r="F24" s="15">
        <f>SUBTOTAL(109,F4:F23)</f>
        <v>0</v>
      </c>
    </row>
    <row r="25" spans="1:9" s="8" customFormat="1" x14ac:dyDescent="0.25">
      <c r="A25" s="3"/>
      <c r="B25" s="10"/>
      <c r="C25" s="10"/>
      <c r="D25" s="3"/>
      <c r="E25" s="133"/>
      <c r="F25" s="133"/>
    </row>
    <row r="26" spans="1:9" s="8" customFormat="1" x14ac:dyDescent="0.25">
      <c r="A26" s="3"/>
      <c r="B26" s="10"/>
      <c r="C26" s="10"/>
      <c r="D26" s="3"/>
      <c r="E26" s="133"/>
      <c r="F26" s="133"/>
    </row>
    <row r="27" spans="1:9" s="8" customFormat="1" x14ac:dyDescent="0.25">
      <c r="A27" s="3"/>
      <c r="B27" s="10"/>
      <c r="C27" s="10"/>
      <c r="D27" s="3"/>
      <c r="E27" s="133"/>
      <c r="F27" s="133"/>
    </row>
    <row r="28" spans="1:9" s="8" customFormat="1" x14ac:dyDescent="0.25">
      <c r="A28" s="3"/>
      <c r="B28" s="10"/>
      <c r="C28" s="10"/>
      <c r="D28" s="3"/>
      <c r="E28" s="133"/>
      <c r="F28" s="133"/>
    </row>
    <row r="29" spans="1:9" s="8" customFormat="1" x14ac:dyDescent="0.25">
      <c r="A29" s="3"/>
      <c r="B29" s="10"/>
      <c r="C29" s="10"/>
      <c r="D29" s="3"/>
      <c r="E29" s="133"/>
      <c r="F29" s="133"/>
    </row>
    <row r="30" spans="1:9" s="8" customFormat="1" x14ac:dyDescent="0.25">
      <c r="A30" s="3"/>
      <c r="B30" s="10"/>
      <c r="C30" s="10"/>
      <c r="D30" s="3"/>
      <c r="E30" s="133"/>
      <c r="F30" s="133"/>
    </row>
    <row r="31" spans="1:9" s="8" customFormat="1" x14ac:dyDescent="0.25">
      <c r="A31" s="3"/>
      <c r="B31" s="10"/>
      <c r="C31" s="10"/>
      <c r="D31" s="3"/>
      <c r="E31" s="133"/>
      <c r="F31" s="133"/>
    </row>
    <row r="32" spans="1:9" s="8" customFormat="1" x14ac:dyDescent="0.25">
      <c r="A32" s="3"/>
      <c r="B32" s="10"/>
      <c r="C32" s="10"/>
      <c r="D32" s="3"/>
      <c r="E32" s="133"/>
      <c r="F32" s="133"/>
    </row>
    <row r="33" spans="1:6" s="8" customFormat="1" x14ac:dyDescent="0.25">
      <c r="A33" s="3"/>
      <c r="B33" s="10"/>
      <c r="C33" s="10"/>
      <c r="D33" s="3"/>
      <c r="E33" s="133"/>
      <c r="F33" s="133"/>
    </row>
    <row r="34" spans="1:6" s="8" customFormat="1" x14ac:dyDescent="0.25">
      <c r="A34" s="3"/>
      <c r="B34" s="10"/>
      <c r="C34" s="10"/>
      <c r="D34" s="3"/>
      <c r="E34" s="133"/>
      <c r="F34" s="133"/>
    </row>
    <row r="35" spans="1:6" s="8" customFormat="1" x14ac:dyDescent="0.25">
      <c r="A35" s="3"/>
      <c r="B35" s="10"/>
      <c r="C35" s="10"/>
      <c r="D35" s="3"/>
      <c r="E35" s="133"/>
      <c r="F35" s="133"/>
    </row>
    <row r="36" spans="1:6" s="8" customFormat="1" x14ac:dyDescent="0.25">
      <c r="A36" s="3"/>
      <c r="B36" s="10"/>
      <c r="C36" s="10"/>
      <c r="D36" s="3"/>
      <c r="E36" s="133"/>
      <c r="F36" s="133"/>
    </row>
    <row r="37" spans="1:6" s="8" customFormat="1" x14ac:dyDescent="0.25">
      <c r="A37" s="3"/>
      <c r="B37" s="10"/>
      <c r="C37" s="10"/>
      <c r="D37" s="3"/>
      <c r="E37" s="133"/>
      <c r="F37" s="133"/>
    </row>
    <row r="38" spans="1:6" s="8" customFormat="1" x14ac:dyDescent="0.25">
      <c r="A38" s="3"/>
      <c r="B38" s="10"/>
      <c r="C38" s="10"/>
      <c r="D38" s="3"/>
      <c r="E38" s="133"/>
      <c r="F38" s="133"/>
    </row>
    <row r="39" spans="1:6" s="8" customFormat="1" x14ac:dyDescent="0.25">
      <c r="A39" s="3"/>
      <c r="B39" s="10"/>
      <c r="C39" s="10"/>
      <c r="D39" s="3"/>
      <c r="E39" s="133"/>
      <c r="F39" s="133"/>
    </row>
    <row r="40" spans="1:6" s="8" customFormat="1" x14ac:dyDescent="0.25">
      <c r="A40" s="3"/>
      <c r="B40" s="10"/>
      <c r="C40" s="10"/>
      <c r="D40" s="3"/>
      <c r="E40" s="133"/>
      <c r="F40" s="133"/>
    </row>
    <row r="41" spans="1:6" s="8" customFormat="1" x14ac:dyDescent="0.25">
      <c r="A41" s="3"/>
      <c r="B41" s="10"/>
      <c r="C41" s="10"/>
      <c r="D41" s="3"/>
      <c r="E41" s="133"/>
      <c r="F41" s="133"/>
    </row>
    <row r="42" spans="1:6" s="8" customFormat="1" x14ac:dyDescent="0.25">
      <c r="A42" s="3"/>
      <c r="B42" s="10"/>
      <c r="C42" s="10"/>
      <c r="D42" s="3"/>
      <c r="E42" s="133"/>
      <c r="F42" s="133"/>
    </row>
    <row r="43" spans="1:6" s="8" customFormat="1" x14ac:dyDescent="0.25">
      <c r="A43" s="3"/>
      <c r="B43" s="10"/>
      <c r="C43" s="10"/>
      <c r="D43" s="3"/>
      <c r="E43" s="133"/>
      <c r="F43" s="133"/>
    </row>
    <row r="44" spans="1:6" s="8" customFormat="1" x14ac:dyDescent="0.25">
      <c r="A44" s="3"/>
      <c r="B44" s="10"/>
      <c r="C44" s="10"/>
      <c r="D44" s="3"/>
      <c r="E44" s="133"/>
      <c r="F44" s="133"/>
    </row>
    <row r="45" spans="1:6" s="8" customFormat="1" x14ac:dyDescent="0.25">
      <c r="A45" s="3"/>
      <c r="B45" s="10"/>
      <c r="C45" s="10"/>
      <c r="D45" s="3"/>
      <c r="E45" s="133"/>
      <c r="F45" s="133"/>
    </row>
    <row r="46" spans="1:6" s="8" customFormat="1" x14ac:dyDescent="0.25">
      <c r="A46" s="3"/>
      <c r="B46" s="10"/>
      <c r="C46" s="10"/>
      <c r="D46" s="3"/>
      <c r="E46" s="133"/>
      <c r="F46" s="133"/>
    </row>
    <row r="47" spans="1:6" s="8" customFormat="1" x14ac:dyDescent="0.25">
      <c r="A47" s="3"/>
      <c r="B47" s="10"/>
      <c r="C47" s="10"/>
      <c r="D47" s="3"/>
      <c r="E47" s="133"/>
      <c r="F47" s="133"/>
    </row>
    <row r="48" spans="1:6" s="8" customFormat="1" x14ac:dyDescent="0.25">
      <c r="A48" s="3"/>
      <c r="B48" s="10"/>
      <c r="C48" s="10"/>
      <c r="D48" s="3"/>
      <c r="E48" s="133"/>
      <c r="F48" s="133"/>
    </row>
    <row r="49" spans="1:6" s="8" customFormat="1" x14ac:dyDescent="0.25">
      <c r="A49" s="3"/>
      <c r="B49" s="10"/>
      <c r="C49" s="10"/>
      <c r="D49" s="3"/>
      <c r="E49" s="133"/>
      <c r="F49" s="133"/>
    </row>
    <row r="50" spans="1:6" s="8" customFormat="1" x14ac:dyDescent="0.25">
      <c r="A50" s="3"/>
      <c r="B50" s="10"/>
      <c r="C50" s="10"/>
      <c r="D50" s="3"/>
      <c r="E50" s="133"/>
      <c r="F50" s="133"/>
    </row>
    <row r="51" spans="1:6" s="8" customFormat="1" x14ac:dyDescent="0.25">
      <c r="A51" s="3"/>
      <c r="B51" s="10"/>
      <c r="C51" s="10"/>
      <c r="D51" s="3"/>
      <c r="E51" s="133"/>
      <c r="F51" s="133"/>
    </row>
    <row r="52" spans="1:6" s="8" customFormat="1" x14ac:dyDescent="0.25">
      <c r="A52" s="3"/>
      <c r="B52" s="10"/>
      <c r="C52" s="10"/>
      <c r="D52" s="3"/>
      <c r="E52" s="133"/>
      <c r="F52" s="133"/>
    </row>
    <row r="53" spans="1:6" s="8" customFormat="1" x14ac:dyDescent="0.25">
      <c r="A53" s="3"/>
      <c r="B53" s="10"/>
      <c r="C53" s="10"/>
      <c r="D53" s="3"/>
      <c r="E53" s="133"/>
      <c r="F53" s="133"/>
    </row>
    <row r="54" spans="1:6" s="8" customFormat="1" x14ac:dyDescent="0.25">
      <c r="A54" s="3"/>
      <c r="B54" s="10"/>
      <c r="C54" s="10"/>
      <c r="D54" s="3"/>
      <c r="E54" s="133"/>
      <c r="F54" s="133"/>
    </row>
    <row r="55" spans="1:6" s="8" customFormat="1" x14ac:dyDescent="0.25">
      <c r="A55" s="3"/>
      <c r="B55" s="10"/>
      <c r="C55" s="10"/>
      <c r="D55" s="3"/>
      <c r="E55" s="133"/>
      <c r="F55" s="133"/>
    </row>
    <row r="56" spans="1:6" s="8" customFormat="1" x14ac:dyDescent="0.25">
      <c r="A56" s="3"/>
      <c r="B56" s="10"/>
      <c r="C56" s="10"/>
      <c r="D56" s="3"/>
      <c r="E56" s="133"/>
      <c r="F56" s="133"/>
    </row>
    <row r="57" spans="1:6" s="8" customFormat="1" x14ac:dyDescent="0.25">
      <c r="A57" s="3"/>
      <c r="B57" s="10"/>
      <c r="C57" s="10"/>
      <c r="D57" s="3"/>
      <c r="E57" s="133"/>
      <c r="F57" s="133"/>
    </row>
    <row r="58" spans="1:6" s="8" customFormat="1" x14ac:dyDescent="0.25">
      <c r="A58" s="3"/>
      <c r="B58" s="10"/>
      <c r="C58" s="10"/>
      <c r="D58" s="3"/>
      <c r="E58" s="133"/>
      <c r="F58" s="133"/>
    </row>
    <row r="59" spans="1:6" s="8" customFormat="1" x14ac:dyDescent="0.25">
      <c r="A59" s="3"/>
      <c r="B59" s="10"/>
      <c r="C59" s="10"/>
      <c r="D59" s="3"/>
      <c r="E59" s="133"/>
      <c r="F59" s="133"/>
    </row>
    <row r="60" spans="1:6" s="8" customFormat="1" x14ac:dyDescent="0.25">
      <c r="A60" s="3"/>
      <c r="B60" s="10"/>
      <c r="C60" s="10"/>
      <c r="D60" s="3"/>
      <c r="E60" s="133"/>
      <c r="F60" s="133"/>
    </row>
    <row r="61" spans="1:6" s="8" customFormat="1" x14ac:dyDescent="0.25">
      <c r="A61" s="3"/>
      <c r="B61" s="10"/>
      <c r="C61" s="10"/>
      <c r="D61" s="3"/>
      <c r="E61" s="133"/>
      <c r="F61" s="133"/>
    </row>
    <row r="62" spans="1:6" s="8" customFormat="1" x14ac:dyDescent="0.25">
      <c r="A62" s="3"/>
      <c r="B62" s="10"/>
      <c r="C62" s="10"/>
      <c r="D62" s="3"/>
      <c r="E62" s="133"/>
      <c r="F62" s="133"/>
    </row>
    <row r="63" spans="1:6" s="8" customFormat="1" x14ac:dyDescent="0.25">
      <c r="A63" s="3"/>
      <c r="B63" s="10"/>
      <c r="C63" s="10"/>
      <c r="D63" s="3"/>
      <c r="E63" s="133"/>
      <c r="F63" s="133"/>
    </row>
    <row r="64" spans="1:6" s="8" customFormat="1" x14ac:dyDescent="0.25">
      <c r="A64" s="3"/>
      <c r="B64" s="10"/>
      <c r="C64" s="10"/>
      <c r="D64" s="3"/>
      <c r="E64" s="133"/>
      <c r="F64" s="133"/>
    </row>
    <row r="65" spans="1:6" s="8" customFormat="1" x14ac:dyDescent="0.25">
      <c r="A65" s="3"/>
      <c r="B65" s="10"/>
      <c r="C65" s="10"/>
      <c r="D65" s="3"/>
      <c r="E65" s="133"/>
      <c r="F65" s="133"/>
    </row>
    <row r="66" spans="1:6" s="8" customFormat="1" x14ac:dyDescent="0.25">
      <c r="A66" s="3"/>
      <c r="B66" s="10"/>
      <c r="C66" s="10"/>
      <c r="D66" s="3"/>
      <c r="E66" s="133"/>
      <c r="F66" s="133"/>
    </row>
    <row r="67" spans="1:6" s="8" customFormat="1" x14ac:dyDescent="0.25">
      <c r="A67" s="3"/>
      <c r="B67" s="10"/>
      <c r="C67" s="10"/>
      <c r="D67" s="3"/>
      <c r="E67" s="133"/>
      <c r="F67" s="133"/>
    </row>
    <row r="68" spans="1:6" s="8" customFormat="1" x14ac:dyDescent="0.25">
      <c r="A68" s="3"/>
      <c r="B68" s="10"/>
      <c r="C68" s="10"/>
      <c r="D68" s="3"/>
      <c r="E68" s="133"/>
      <c r="F68" s="133"/>
    </row>
    <row r="69" spans="1:6" s="8" customFormat="1" x14ac:dyDescent="0.25">
      <c r="A69" s="3"/>
      <c r="B69" s="10"/>
      <c r="C69" s="10"/>
      <c r="D69" s="3"/>
      <c r="E69" s="133"/>
      <c r="F69" s="133"/>
    </row>
    <row r="70" spans="1:6" s="8" customFormat="1" x14ac:dyDescent="0.25">
      <c r="A70" s="3"/>
      <c r="B70" s="10"/>
      <c r="C70" s="10"/>
      <c r="D70" s="3"/>
      <c r="E70" s="133"/>
      <c r="F70" s="133"/>
    </row>
    <row r="71" spans="1:6" s="8" customFormat="1" x14ac:dyDescent="0.25">
      <c r="A71" s="3"/>
      <c r="B71" s="10"/>
      <c r="C71" s="10"/>
      <c r="D71" s="3"/>
      <c r="E71" s="133"/>
      <c r="F71" s="133"/>
    </row>
    <row r="72" spans="1:6" s="8" customFormat="1" x14ac:dyDescent="0.25">
      <c r="A72" s="3"/>
      <c r="B72" s="10"/>
      <c r="C72" s="10"/>
      <c r="D72" s="3"/>
      <c r="E72" s="133"/>
      <c r="F72" s="133"/>
    </row>
    <row r="73" spans="1:6" s="8" customFormat="1" x14ac:dyDescent="0.25">
      <c r="A73" s="3"/>
      <c r="B73" s="10"/>
      <c r="C73" s="10"/>
      <c r="D73" s="3"/>
      <c r="E73" s="133"/>
      <c r="F73" s="133"/>
    </row>
    <row r="74" spans="1:6" s="8" customFormat="1" x14ac:dyDescent="0.25">
      <c r="A74" s="3"/>
      <c r="B74" s="10"/>
      <c r="C74" s="10"/>
      <c r="D74" s="3"/>
      <c r="E74" s="133"/>
      <c r="F74" s="133"/>
    </row>
    <row r="75" spans="1:6" s="8" customFormat="1" x14ac:dyDescent="0.25">
      <c r="A75" s="3"/>
      <c r="B75" s="10"/>
      <c r="C75" s="10"/>
      <c r="D75" s="3"/>
      <c r="E75" s="133"/>
      <c r="F75" s="133"/>
    </row>
    <row r="76" spans="1:6" s="8" customFormat="1" x14ac:dyDescent="0.25">
      <c r="A76" s="3"/>
      <c r="B76" s="10"/>
      <c r="C76" s="10"/>
      <c r="D76" s="3"/>
      <c r="E76" s="133"/>
      <c r="F76" s="133"/>
    </row>
    <row r="77" spans="1:6" s="8" customFormat="1" x14ac:dyDescent="0.25">
      <c r="A77" s="3"/>
      <c r="B77" s="10"/>
      <c r="C77" s="10"/>
      <c r="D77" s="3"/>
      <c r="E77" s="133"/>
      <c r="F77" s="133"/>
    </row>
    <row r="78" spans="1:6" s="8" customFormat="1" x14ac:dyDescent="0.25">
      <c r="A78" s="3"/>
      <c r="B78" s="10"/>
      <c r="C78" s="10"/>
      <c r="D78" s="3"/>
      <c r="E78" s="133"/>
      <c r="F78" s="133"/>
    </row>
    <row r="79" spans="1:6" s="8" customFormat="1" x14ac:dyDescent="0.25">
      <c r="A79" s="3"/>
      <c r="B79" s="10"/>
      <c r="C79" s="10"/>
      <c r="D79" s="3"/>
      <c r="E79" s="133"/>
      <c r="F79" s="133"/>
    </row>
    <row r="80" spans="1:6" s="8" customFormat="1" x14ac:dyDescent="0.25">
      <c r="A80" s="3"/>
      <c r="B80" s="10"/>
      <c r="C80" s="10"/>
      <c r="D80" s="3"/>
      <c r="E80" s="133"/>
      <c r="F80" s="133"/>
    </row>
    <row r="81" spans="1:6" s="8" customFormat="1" x14ac:dyDescent="0.25">
      <c r="A81" s="3"/>
      <c r="B81" s="10"/>
      <c r="C81" s="10"/>
      <c r="D81" s="3"/>
      <c r="E81" s="133"/>
      <c r="F81" s="133"/>
    </row>
    <row r="82" spans="1:6" s="8" customFormat="1" x14ac:dyDescent="0.25">
      <c r="A82" s="3"/>
      <c r="B82" s="10"/>
      <c r="C82" s="10"/>
      <c r="D82" s="3"/>
      <c r="E82" s="133"/>
      <c r="F82" s="133"/>
    </row>
    <row r="83" spans="1:6" s="8" customFormat="1" x14ac:dyDescent="0.25">
      <c r="A83" s="3"/>
      <c r="B83" s="10"/>
      <c r="C83" s="10"/>
      <c r="D83" s="3"/>
      <c r="E83" s="133"/>
      <c r="F83" s="133"/>
    </row>
    <row r="84" spans="1:6" s="8" customFormat="1" x14ac:dyDescent="0.25">
      <c r="A84" s="3"/>
      <c r="B84" s="10"/>
      <c r="C84" s="10"/>
      <c r="D84" s="3"/>
      <c r="E84" s="133"/>
      <c r="F84" s="133"/>
    </row>
    <row r="85" spans="1:6" s="8" customFormat="1" x14ac:dyDescent="0.25">
      <c r="A85" s="3"/>
      <c r="B85" s="10"/>
      <c r="C85" s="10"/>
      <c r="D85" s="3"/>
      <c r="E85" s="133"/>
      <c r="F85" s="133"/>
    </row>
    <row r="86" spans="1:6" s="8" customFormat="1" x14ac:dyDescent="0.25">
      <c r="A86" s="3"/>
      <c r="B86" s="10"/>
      <c r="C86" s="10"/>
      <c r="D86" s="3"/>
      <c r="E86" s="133"/>
      <c r="F86" s="133"/>
    </row>
    <row r="87" spans="1:6" s="8" customFormat="1" x14ac:dyDescent="0.25">
      <c r="A87" s="3"/>
      <c r="B87" s="10"/>
      <c r="C87" s="10"/>
      <c r="D87" s="3"/>
      <c r="E87" s="133"/>
      <c r="F87" s="133"/>
    </row>
    <row r="88" spans="1:6" s="8" customFormat="1" x14ac:dyDescent="0.25">
      <c r="A88" s="3"/>
      <c r="B88" s="10"/>
      <c r="C88" s="10"/>
      <c r="D88" s="3"/>
      <c r="E88" s="133"/>
      <c r="F88" s="133"/>
    </row>
    <row r="89" spans="1:6" s="8" customFormat="1" x14ac:dyDescent="0.25">
      <c r="A89" s="3"/>
      <c r="B89" s="10"/>
      <c r="C89" s="10"/>
      <c r="D89" s="3"/>
      <c r="E89" s="133"/>
      <c r="F89" s="133"/>
    </row>
    <row r="90" spans="1:6" s="8" customFormat="1" x14ac:dyDescent="0.25">
      <c r="A90" s="3"/>
      <c r="B90" s="10"/>
      <c r="C90" s="10"/>
      <c r="D90" s="3"/>
      <c r="E90" s="133"/>
      <c r="F90" s="133"/>
    </row>
    <row r="91" spans="1:6" s="8" customFormat="1" x14ac:dyDescent="0.25">
      <c r="A91" s="3"/>
      <c r="B91" s="10"/>
      <c r="C91" s="10"/>
      <c r="D91" s="3"/>
      <c r="E91" s="133"/>
      <c r="F91" s="133"/>
    </row>
    <row r="92" spans="1:6" s="8" customFormat="1" x14ac:dyDescent="0.25">
      <c r="A92" s="3"/>
      <c r="B92" s="10"/>
      <c r="C92" s="10"/>
      <c r="D92" s="3"/>
      <c r="E92" s="133"/>
      <c r="F92" s="133"/>
    </row>
    <row r="93" spans="1:6" s="8" customFormat="1" x14ac:dyDescent="0.25">
      <c r="A93" s="3"/>
      <c r="B93" s="10"/>
      <c r="C93" s="10"/>
      <c r="D93" s="3"/>
      <c r="E93" s="133"/>
      <c r="F93" s="133"/>
    </row>
    <row r="94" spans="1:6" s="8" customFormat="1" x14ac:dyDescent="0.25">
      <c r="A94" s="3"/>
      <c r="B94" s="10"/>
      <c r="C94" s="10"/>
      <c r="D94" s="3"/>
      <c r="E94" s="133"/>
      <c r="F94" s="133"/>
    </row>
    <row r="95" spans="1:6" s="8" customFormat="1" x14ac:dyDescent="0.25">
      <c r="A95" s="3"/>
      <c r="B95" s="10"/>
      <c r="C95" s="10"/>
      <c r="D95" s="3"/>
      <c r="E95" s="133"/>
      <c r="F95" s="133"/>
    </row>
    <row r="96" spans="1:6" s="8" customFormat="1" x14ac:dyDescent="0.25">
      <c r="A96" s="3"/>
      <c r="B96" s="10"/>
      <c r="C96" s="10"/>
      <c r="D96" s="3"/>
      <c r="E96" s="133"/>
      <c r="F96" s="133"/>
    </row>
    <row r="97" spans="1:6" s="8" customFormat="1" x14ac:dyDescent="0.25">
      <c r="A97" s="3"/>
      <c r="B97" s="10"/>
      <c r="C97" s="10"/>
      <c r="D97" s="3"/>
      <c r="E97" s="133"/>
      <c r="F97" s="133"/>
    </row>
    <row r="98" spans="1:6" s="8" customFormat="1" x14ac:dyDescent="0.25">
      <c r="A98" s="3"/>
      <c r="B98" s="10"/>
      <c r="C98" s="10"/>
      <c r="D98" s="3"/>
      <c r="E98" s="133"/>
      <c r="F98" s="133"/>
    </row>
    <row r="99" spans="1:6" s="8" customFormat="1" x14ac:dyDescent="0.25">
      <c r="A99" s="3"/>
      <c r="B99" s="10"/>
      <c r="C99" s="10"/>
      <c r="D99" s="3"/>
      <c r="E99" s="133"/>
      <c r="F99" s="133"/>
    </row>
    <row r="100" spans="1:6" s="8" customFormat="1" x14ac:dyDescent="0.25">
      <c r="A100" s="3"/>
      <c r="B100" s="10"/>
      <c r="C100" s="10"/>
      <c r="D100" s="3"/>
      <c r="E100" s="133"/>
      <c r="F100" s="133"/>
    </row>
    <row r="101" spans="1:6" s="8" customFormat="1" x14ac:dyDescent="0.25">
      <c r="A101" s="3"/>
      <c r="B101" s="10"/>
      <c r="C101" s="10"/>
      <c r="D101" s="3"/>
      <c r="E101" s="133"/>
      <c r="F101" s="133"/>
    </row>
    <row r="102" spans="1:6" s="8" customFormat="1" x14ac:dyDescent="0.25">
      <c r="A102" s="3"/>
      <c r="B102" s="10"/>
      <c r="C102" s="10"/>
      <c r="D102" s="3"/>
      <c r="E102" s="133"/>
      <c r="F102" s="133"/>
    </row>
    <row r="103" spans="1:6" s="8" customFormat="1" x14ac:dyDescent="0.25">
      <c r="A103" s="3"/>
      <c r="B103" s="10"/>
      <c r="C103" s="10"/>
      <c r="D103" s="3"/>
      <c r="E103" s="133"/>
      <c r="F103" s="133"/>
    </row>
    <row r="104" spans="1:6" s="8" customFormat="1" x14ac:dyDescent="0.25">
      <c r="A104" s="3"/>
      <c r="B104" s="10"/>
      <c r="C104" s="10"/>
      <c r="D104" s="3"/>
      <c r="E104" s="133"/>
      <c r="F104" s="133"/>
    </row>
    <row r="105" spans="1:6" s="8" customFormat="1" x14ac:dyDescent="0.25">
      <c r="A105" s="3"/>
      <c r="B105" s="10"/>
      <c r="C105" s="10"/>
      <c r="D105" s="3"/>
      <c r="E105" s="133"/>
      <c r="F105" s="133"/>
    </row>
    <row r="106" spans="1:6" s="8" customFormat="1" x14ac:dyDescent="0.25">
      <c r="A106" s="3"/>
      <c r="B106" s="10"/>
      <c r="C106" s="10"/>
      <c r="D106" s="3"/>
      <c r="E106" s="133"/>
      <c r="F106" s="133"/>
    </row>
    <row r="107" spans="1:6" s="8" customFormat="1" x14ac:dyDescent="0.25">
      <c r="A107" s="3"/>
      <c r="B107" s="10"/>
      <c r="C107" s="10"/>
      <c r="D107" s="3"/>
      <c r="E107" s="133"/>
      <c r="F107" s="133"/>
    </row>
    <row r="108" spans="1:6" s="8" customFormat="1" x14ac:dyDescent="0.25">
      <c r="A108" s="3"/>
      <c r="B108" s="10"/>
      <c r="C108" s="10"/>
      <c r="D108" s="3"/>
      <c r="E108" s="133"/>
      <c r="F108" s="133"/>
    </row>
    <row r="109" spans="1:6" s="8" customFormat="1" x14ac:dyDescent="0.25">
      <c r="A109" s="3"/>
      <c r="B109" s="10"/>
      <c r="C109" s="10"/>
      <c r="D109" s="3"/>
      <c r="E109" s="133"/>
      <c r="F109" s="133"/>
    </row>
    <row r="110" spans="1:6" s="8" customFormat="1" x14ac:dyDescent="0.25">
      <c r="A110" s="3"/>
      <c r="B110" s="10"/>
      <c r="C110" s="10"/>
      <c r="D110" s="3"/>
      <c r="E110" s="133"/>
      <c r="F110" s="133"/>
    </row>
    <row r="111" spans="1:6" s="8" customFormat="1" x14ac:dyDescent="0.25">
      <c r="A111" s="3"/>
      <c r="B111" s="10"/>
      <c r="C111" s="10"/>
      <c r="D111" s="3"/>
      <c r="E111" s="133"/>
      <c r="F111" s="133"/>
    </row>
    <row r="112" spans="1:6" s="8" customFormat="1" x14ac:dyDescent="0.25">
      <c r="A112" s="3"/>
      <c r="B112" s="10"/>
      <c r="C112" s="10"/>
      <c r="D112" s="3"/>
      <c r="E112" s="133"/>
      <c r="F112" s="133"/>
    </row>
    <row r="113" spans="1:6" s="8" customFormat="1" x14ac:dyDescent="0.25">
      <c r="A113" s="3"/>
      <c r="B113" s="10"/>
      <c r="C113" s="10"/>
      <c r="D113" s="3"/>
      <c r="E113" s="133"/>
      <c r="F113" s="133"/>
    </row>
    <row r="114" spans="1:6" s="8" customFormat="1" x14ac:dyDescent="0.25">
      <c r="A114" s="3"/>
      <c r="B114" s="10"/>
      <c r="C114" s="10"/>
      <c r="D114" s="3"/>
      <c r="E114" s="133"/>
      <c r="F114" s="133"/>
    </row>
    <row r="115" spans="1:6" s="8" customFormat="1" x14ac:dyDescent="0.25">
      <c r="A115" s="3"/>
      <c r="B115" s="10"/>
      <c r="C115" s="10"/>
      <c r="D115" s="3"/>
      <c r="E115" s="133"/>
      <c r="F115" s="133"/>
    </row>
    <row r="116" spans="1:6" s="8" customFormat="1" x14ac:dyDescent="0.25">
      <c r="A116" s="3"/>
      <c r="B116" s="10"/>
      <c r="C116" s="10"/>
      <c r="D116" s="3"/>
      <c r="E116" s="133"/>
      <c r="F116" s="133"/>
    </row>
    <row r="117" spans="1:6" s="8" customFormat="1" x14ac:dyDescent="0.25">
      <c r="A117" s="3"/>
      <c r="B117" s="10"/>
      <c r="C117" s="10"/>
      <c r="D117" s="3"/>
      <c r="E117" s="133"/>
      <c r="F117" s="133"/>
    </row>
    <row r="118" spans="1:6" s="8" customFormat="1" x14ac:dyDescent="0.25">
      <c r="A118" s="3"/>
      <c r="B118" s="10"/>
      <c r="C118" s="10"/>
      <c r="D118" s="3"/>
      <c r="E118" s="133"/>
      <c r="F118" s="133"/>
    </row>
    <row r="119" spans="1:6" s="8" customFormat="1" x14ac:dyDescent="0.25">
      <c r="A119" s="3"/>
      <c r="B119" s="10"/>
      <c r="C119" s="10"/>
      <c r="D119" s="3"/>
      <c r="E119" s="133"/>
      <c r="F119" s="133"/>
    </row>
    <row r="120" spans="1:6" s="8" customFormat="1" x14ac:dyDescent="0.25">
      <c r="A120" s="3"/>
      <c r="B120" s="10"/>
      <c r="C120" s="10"/>
      <c r="D120" s="3"/>
      <c r="E120" s="133"/>
      <c r="F120" s="133"/>
    </row>
    <row r="121" spans="1:6" s="8" customFormat="1" x14ac:dyDescent="0.25">
      <c r="A121" s="3"/>
      <c r="B121" s="10"/>
      <c r="C121" s="10"/>
      <c r="D121" s="3"/>
      <c r="E121" s="133"/>
      <c r="F121" s="133"/>
    </row>
    <row r="122" spans="1:6" s="8" customFormat="1" x14ac:dyDescent="0.25">
      <c r="A122" s="3"/>
      <c r="B122" s="10"/>
      <c r="C122" s="10"/>
      <c r="D122" s="3"/>
      <c r="E122" s="133"/>
      <c r="F122" s="133"/>
    </row>
    <row r="123" spans="1:6" s="8" customFormat="1" x14ac:dyDescent="0.25">
      <c r="A123" s="3"/>
      <c r="B123" s="10"/>
      <c r="C123" s="10"/>
      <c r="D123" s="3"/>
      <c r="E123" s="133"/>
      <c r="F123" s="133"/>
    </row>
    <row r="124" spans="1:6" s="8" customFormat="1" x14ac:dyDescent="0.25">
      <c r="A124" s="3"/>
      <c r="B124" s="10"/>
      <c r="C124" s="10"/>
      <c r="D124" s="3"/>
      <c r="E124" s="133"/>
      <c r="F124" s="133"/>
    </row>
    <row r="125" spans="1:6" s="8" customFormat="1" x14ac:dyDescent="0.25">
      <c r="A125" s="3"/>
      <c r="B125" s="10"/>
      <c r="C125" s="10"/>
      <c r="D125" s="3"/>
      <c r="E125" s="133"/>
      <c r="F125" s="133"/>
    </row>
    <row r="126" spans="1:6" s="8" customFormat="1" x14ac:dyDescent="0.25">
      <c r="A126" s="3"/>
      <c r="B126" s="10"/>
      <c r="C126" s="10"/>
      <c r="D126" s="3"/>
      <c r="E126" s="133"/>
      <c r="F126" s="133"/>
    </row>
    <row r="127" spans="1:6" s="8" customFormat="1" x14ac:dyDescent="0.25">
      <c r="A127" s="3"/>
      <c r="B127" s="10"/>
      <c r="C127" s="10"/>
      <c r="D127" s="3"/>
      <c r="E127" s="133"/>
      <c r="F127" s="133"/>
    </row>
    <row r="128" spans="1:6" s="8" customFormat="1" x14ac:dyDescent="0.25">
      <c r="A128" s="3"/>
      <c r="B128" s="10"/>
      <c r="C128" s="10"/>
      <c r="D128" s="3"/>
      <c r="E128" s="133"/>
      <c r="F128" s="133"/>
    </row>
    <row r="129" spans="1:6" s="8" customFormat="1" x14ac:dyDescent="0.25">
      <c r="A129" s="3"/>
      <c r="B129" s="10"/>
      <c r="C129" s="10"/>
      <c r="D129" s="3"/>
      <c r="E129" s="133"/>
      <c r="F129" s="133"/>
    </row>
    <row r="130" spans="1:6" s="8" customFormat="1" x14ac:dyDescent="0.25">
      <c r="A130" s="3"/>
      <c r="B130" s="10"/>
      <c r="C130" s="10"/>
      <c r="D130" s="3"/>
      <c r="E130" s="133"/>
      <c r="F130" s="133"/>
    </row>
    <row r="131" spans="1:6" s="8" customFormat="1" x14ac:dyDescent="0.25">
      <c r="A131" s="3"/>
      <c r="B131" s="10"/>
      <c r="C131" s="10"/>
      <c r="D131" s="3"/>
      <c r="E131" s="133"/>
      <c r="F131" s="133"/>
    </row>
    <row r="132" spans="1:6" s="8" customFormat="1" x14ac:dyDescent="0.25">
      <c r="A132" s="3"/>
      <c r="B132" s="10"/>
      <c r="C132" s="10"/>
      <c r="D132" s="3"/>
      <c r="E132" s="133"/>
      <c r="F132" s="133"/>
    </row>
    <row r="133" spans="1:6" s="8" customFormat="1" x14ac:dyDescent="0.25">
      <c r="A133" s="3"/>
      <c r="B133" s="10"/>
      <c r="C133" s="10"/>
      <c r="D133" s="3"/>
      <c r="E133" s="133"/>
      <c r="F133" s="133"/>
    </row>
    <row r="134" spans="1:6" s="8" customFormat="1" x14ac:dyDescent="0.25">
      <c r="A134" s="3"/>
      <c r="B134" s="10"/>
      <c r="C134" s="10"/>
      <c r="D134" s="3"/>
      <c r="E134" s="133"/>
      <c r="F134" s="133"/>
    </row>
    <row r="135" spans="1:6" s="8" customFormat="1" x14ac:dyDescent="0.25">
      <c r="A135" s="3"/>
      <c r="B135" s="10"/>
      <c r="C135" s="10"/>
      <c r="D135" s="3"/>
      <c r="E135" s="133"/>
      <c r="F135" s="133"/>
    </row>
    <row r="136" spans="1:6" s="8" customFormat="1" x14ac:dyDescent="0.25">
      <c r="A136" s="3"/>
      <c r="B136" s="10"/>
      <c r="C136" s="10"/>
      <c r="D136" s="3"/>
      <c r="E136" s="133"/>
      <c r="F136" s="133"/>
    </row>
    <row r="137" spans="1:6" s="8" customFormat="1" x14ac:dyDescent="0.25">
      <c r="A137" s="3"/>
      <c r="B137" s="10"/>
      <c r="C137" s="10"/>
      <c r="D137" s="3"/>
      <c r="E137" s="133"/>
      <c r="F137" s="133"/>
    </row>
    <row r="138" spans="1:6" s="8" customFormat="1" x14ac:dyDescent="0.25">
      <c r="A138" s="3"/>
      <c r="B138" s="10"/>
      <c r="C138" s="10"/>
      <c r="D138" s="3"/>
      <c r="E138" s="133"/>
      <c r="F138" s="133"/>
    </row>
    <row r="139" spans="1:6" s="8" customFormat="1" x14ac:dyDescent="0.25">
      <c r="A139" s="3"/>
      <c r="B139" s="10"/>
      <c r="C139" s="10"/>
      <c r="D139" s="3"/>
      <c r="E139" s="133"/>
      <c r="F139" s="133"/>
    </row>
    <row r="140" spans="1:6" s="8" customFormat="1" x14ac:dyDescent="0.25">
      <c r="A140" s="3"/>
      <c r="B140" s="10"/>
      <c r="C140" s="10"/>
      <c r="D140" s="3"/>
      <c r="E140" s="133"/>
      <c r="F140" s="133"/>
    </row>
    <row r="141" spans="1:6" s="8" customFormat="1" x14ac:dyDescent="0.25">
      <c r="A141" s="3"/>
      <c r="B141" s="10"/>
      <c r="C141" s="10"/>
      <c r="D141" s="3"/>
      <c r="E141" s="133"/>
      <c r="F141" s="133"/>
    </row>
    <row r="142" spans="1:6" s="8" customFormat="1" x14ac:dyDescent="0.25">
      <c r="A142" s="3"/>
      <c r="B142" s="10"/>
      <c r="C142" s="10"/>
      <c r="D142" s="3"/>
      <c r="E142" s="133"/>
      <c r="F142" s="133"/>
    </row>
    <row r="143" spans="1:6" s="8" customFormat="1" x14ac:dyDescent="0.25">
      <c r="A143" s="3"/>
      <c r="B143" s="10"/>
      <c r="C143" s="10"/>
      <c r="D143" s="3"/>
      <c r="E143" s="133"/>
      <c r="F143" s="133"/>
    </row>
    <row r="144" spans="1:6" s="8" customFormat="1" x14ac:dyDescent="0.25">
      <c r="A144" s="3"/>
      <c r="B144" s="10"/>
      <c r="C144" s="10"/>
      <c r="D144" s="3"/>
      <c r="E144" s="133"/>
      <c r="F144" s="133"/>
    </row>
    <row r="145" spans="1:6" s="8" customFormat="1" x14ac:dyDescent="0.25">
      <c r="A145" s="3"/>
      <c r="B145" s="10"/>
      <c r="C145" s="10"/>
      <c r="D145" s="3"/>
      <c r="E145" s="133"/>
      <c r="F145" s="133"/>
    </row>
    <row r="146" spans="1:6" s="8" customFormat="1" x14ac:dyDescent="0.25">
      <c r="A146" s="3"/>
      <c r="B146" s="10"/>
      <c r="C146" s="10"/>
      <c r="D146" s="3"/>
      <c r="E146" s="133"/>
      <c r="F146" s="133"/>
    </row>
    <row r="147" spans="1:6" s="8" customFormat="1" x14ac:dyDescent="0.25">
      <c r="A147" s="3"/>
      <c r="B147" s="10"/>
      <c r="C147" s="10"/>
      <c r="D147" s="3"/>
      <c r="E147" s="133"/>
      <c r="F147" s="133"/>
    </row>
    <row r="148" spans="1:6" s="8" customFormat="1" x14ac:dyDescent="0.25">
      <c r="A148" s="3"/>
      <c r="B148" s="10"/>
      <c r="C148" s="10"/>
      <c r="D148" s="3"/>
      <c r="E148" s="133"/>
      <c r="F148" s="133"/>
    </row>
    <row r="149" spans="1:6" s="8" customFormat="1" x14ac:dyDescent="0.25">
      <c r="A149" s="3"/>
      <c r="B149" s="10"/>
      <c r="C149" s="10"/>
      <c r="D149" s="3"/>
      <c r="E149" s="133"/>
      <c r="F149" s="133"/>
    </row>
    <row r="150" spans="1:6" s="8" customFormat="1" x14ac:dyDescent="0.25">
      <c r="A150" s="3"/>
      <c r="B150" s="10"/>
      <c r="C150" s="10"/>
      <c r="D150" s="3"/>
      <c r="E150" s="133"/>
      <c r="F150" s="133"/>
    </row>
    <row r="151" spans="1:6" s="8" customFormat="1" x14ac:dyDescent="0.25">
      <c r="A151" s="3"/>
      <c r="B151" s="10"/>
      <c r="C151" s="10"/>
      <c r="D151" s="3"/>
      <c r="E151" s="133"/>
      <c r="F151" s="133"/>
    </row>
    <row r="152" spans="1:6" s="8" customFormat="1" x14ac:dyDescent="0.25">
      <c r="A152" s="3"/>
      <c r="B152" s="10"/>
      <c r="C152" s="10"/>
      <c r="D152" s="3"/>
      <c r="E152" s="133"/>
      <c r="F152" s="133"/>
    </row>
    <row r="153" spans="1:6" s="8" customFormat="1" x14ac:dyDescent="0.25">
      <c r="A153" s="3"/>
      <c r="B153" s="10"/>
      <c r="C153" s="10"/>
      <c r="D153" s="3"/>
      <c r="E153" s="133"/>
      <c r="F153" s="133"/>
    </row>
    <row r="154" spans="1:6" s="8" customFormat="1" x14ac:dyDescent="0.25">
      <c r="A154" s="3"/>
      <c r="B154" s="10"/>
      <c r="C154" s="10"/>
      <c r="D154" s="3"/>
      <c r="E154" s="133"/>
      <c r="F154" s="133"/>
    </row>
    <row r="155" spans="1:6" s="8" customFormat="1" x14ac:dyDescent="0.25">
      <c r="A155" s="3"/>
      <c r="B155" s="10"/>
      <c r="C155" s="10"/>
      <c r="D155" s="3"/>
      <c r="E155" s="133"/>
      <c r="F155" s="133"/>
    </row>
    <row r="156" spans="1:6" s="8" customFormat="1" x14ac:dyDescent="0.25">
      <c r="A156" s="3"/>
      <c r="B156" s="10"/>
      <c r="C156" s="10"/>
      <c r="D156" s="3"/>
      <c r="E156" s="133"/>
      <c r="F156" s="133"/>
    </row>
    <row r="157" spans="1:6" s="8" customFormat="1" x14ac:dyDescent="0.25">
      <c r="A157" s="3"/>
      <c r="B157" s="10"/>
      <c r="C157" s="10"/>
      <c r="D157" s="3"/>
      <c r="E157" s="133"/>
      <c r="F157" s="133"/>
    </row>
    <row r="158" spans="1:6" s="8" customFormat="1" x14ac:dyDescent="0.25">
      <c r="A158" s="3"/>
      <c r="B158" s="10"/>
      <c r="C158" s="10"/>
      <c r="D158" s="3"/>
      <c r="E158" s="133"/>
      <c r="F158" s="133"/>
    </row>
    <row r="159" spans="1:6" s="8" customFormat="1" x14ac:dyDescent="0.25">
      <c r="A159" s="3"/>
      <c r="B159" s="10"/>
      <c r="C159" s="10"/>
      <c r="D159" s="3"/>
      <c r="E159" s="133"/>
      <c r="F159" s="133"/>
    </row>
    <row r="160" spans="1:6" s="8" customFormat="1" x14ac:dyDescent="0.25">
      <c r="A160" s="3"/>
      <c r="B160" s="10"/>
      <c r="C160" s="10"/>
      <c r="D160" s="3"/>
      <c r="E160" s="133"/>
      <c r="F160" s="133"/>
    </row>
    <row r="161" spans="1:6" s="8" customFormat="1" x14ac:dyDescent="0.25">
      <c r="A161" s="3"/>
      <c r="B161" s="10"/>
      <c r="C161" s="10"/>
      <c r="D161" s="3"/>
      <c r="E161" s="133"/>
      <c r="F161" s="133"/>
    </row>
    <row r="162" spans="1:6" s="8" customFormat="1" x14ac:dyDescent="0.25">
      <c r="A162" s="3"/>
      <c r="B162" s="10"/>
      <c r="C162" s="10"/>
      <c r="D162" s="3"/>
      <c r="E162" s="133"/>
      <c r="F162" s="133"/>
    </row>
    <row r="163" spans="1:6" s="8" customFormat="1" x14ac:dyDescent="0.25">
      <c r="A163" s="3"/>
      <c r="B163" s="10"/>
      <c r="C163" s="10"/>
      <c r="D163" s="3"/>
      <c r="E163" s="133"/>
      <c r="F163" s="133"/>
    </row>
    <row r="164" spans="1:6" s="8" customFormat="1" x14ac:dyDescent="0.25">
      <c r="A164" s="3"/>
      <c r="B164" s="10"/>
      <c r="C164" s="10"/>
      <c r="D164" s="3"/>
      <c r="E164" s="133"/>
      <c r="F164" s="133"/>
    </row>
    <row r="165" spans="1:6" s="8" customFormat="1" x14ac:dyDescent="0.25">
      <c r="A165" s="3"/>
      <c r="B165" s="10"/>
      <c r="C165" s="10"/>
      <c r="D165" s="3"/>
      <c r="E165" s="133"/>
      <c r="F165" s="133"/>
    </row>
    <row r="166" spans="1:6" s="8" customFormat="1" x14ac:dyDescent="0.25">
      <c r="A166" s="3"/>
      <c r="B166" s="10"/>
      <c r="C166" s="10"/>
      <c r="D166" s="3"/>
      <c r="E166" s="133"/>
      <c r="F166" s="133"/>
    </row>
    <row r="167" spans="1:6" s="8" customFormat="1" x14ac:dyDescent="0.25">
      <c r="A167" s="3"/>
      <c r="B167" s="10"/>
      <c r="C167" s="10"/>
      <c r="D167" s="3"/>
      <c r="E167" s="133"/>
      <c r="F167" s="133"/>
    </row>
    <row r="168" spans="1:6" s="8" customFormat="1" x14ac:dyDescent="0.25">
      <c r="A168" s="3"/>
      <c r="B168" s="10"/>
      <c r="C168" s="10"/>
      <c r="D168" s="3"/>
      <c r="E168" s="133"/>
      <c r="F168" s="133"/>
    </row>
    <row r="169" spans="1:6" s="8" customFormat="1" x14ac:dyDescent="0.25">
      <c r="A169" s="3"/>
      <c r="B169" s="10"/>
      <c r="C169" s="10"/>
      <c r="D169" s="3"/>
      <c r="E169" s="133"/>
      <c r="F169" s="133"/>
    </row>
    <row r="170" spans="1:6" s="8" customFormat="1" x14ac:dyDescent="0.25">
      <c r="A170" s="3"/>
      <c r="B170" s="10"/>
      <c r="C170" s="10"/>
      <c r="D170" s="3"/>
      <c r="E170" s="133"/>
      <c r="F170" s="133"/>
    </row>
    <row r="171" spans="1:6" s="8" customFormat="1" x14ac:dyDescent="0.25">
      <c r="A171" s="3"/>
      <c r="B171" s="10"/>
      <c r="C171" s="10"/>
      <c r="D171" s="3"/>
      <c r="E171" s="133"/>
      <c r="F171" s="133"/>
    </row>
    <row r="172" spans="1:6" s="8" customFormat="1" x14ac:dyDescent="0.25">
      <c r="A172" s="3"/>
      <c r="B172" s="10"/>
      <c r="C172" s="10"/>
      <c r="D172" s="3"/>
      <c r="E172" s="133"/>
      <c r="F172" s="133"/>
    </row>
    <row r="173" spans="1:6" s="8" customFormat="1" x14ac:dyDescent="0.25">
      <c r="A173" s="3"/>
      <c r="B173" s="10"/>
      <c r="C173" s="10"/>
      <c r="D173" s="3"/>
      <c r="E173" s="133"/>
      <c r="F173" s="133"/>
    </row>
    <row r="174" spans="1:6" s="8" customFormat="1" x14ac:dyDescent="0.25">
      <c r="A174" s="3"/>
      <c r="B174" s="10"/>
      <c r="C174" s="10"/>
      <c r="D174" s="3"/>
      <c r="E174" s="133"/>
      <c r="F174" s="133"/>
    </row>
    <row r="175" spans="1:6" s="8" customFormat="1" x14ac:dyDescent="0.25">
      <c r="A175" s="3"/>
      <c r="B175" s="10"/>
      <c r="C175" s="10"/>
      <c r="D175" s="3"/>
      <c r="E175" s="133"/>
      <c r="F175" s="133"/>
    </row>
    <row r="176" spans="1:6" s="8" customFormat="1" x14ac:dyDescent="0.25">
      <c r="A176" s="3"/>
      <c r="B176" s="10"/>
      <c r="C176" s="10"/>
      <c r="D176" s="3"/>
      <c r="E176" s="133"/>
      <c r="F176" s="133"/>
    </row>
    <row r="177" spans="1:6" s="8" customFormat="1" x14ac:dyDescent="0.25">
      <c r="A177" s="3"/>
      <c r="B177" s="10"/>
      <c r="C177" s="10"/>
      <c r="D177" s="3"/>
      <c r="E177" s="133"/>
      <c r="F177" s="133"/>
    </row>
    <row r="178" spans="1:6" s="8" customFormat="1" x14ac:dyDescent="0.25">
      <c r="A178" s="3"/>
      <c r="B178" s="10"/>
      <c r="C178" s="10"/>
      <c r="D178" s="3"/>
      <c r="E178" s="133"/>
      <c r="F178" s="133"/>
    </row>
    <row r="179" spans="1:6" s="8" customFormat="1" x14ac:dyDescent="0.25">
      <c r="A179" s="3"/>
      <c r="B179" s="10"/>
      <c r="C179" s="10"/>
      <c r="D179" s="3"/>
      <c r="E179" s="133"/>
      <c r="F179" s="133"/>
    </row>
    <row r="180" spans="1:6" s="8" customFormat="1" x14ac:dyDescent="0.25">
      <c r="A180" s="3"/>
      <c r="B180" s="10"/>
      <c r="C180" s="10"/>
      <c r="D180" s="3"/>
      <c r="E180" s="133"/>
      <c r="F180" s="133"/>
    </row>
    <row r="181" spans="1:6" s="8" customFormat="1" x14ac:dyDescent="0.25">
      <c r="A181" s="3"/>
      <c r="B181" s="10"/>
      <c r="C181" s="10"/>
      <c r="D181" s="3"/>
      <c r="E181" s="133"/>
      <c r="F181" s="133"/>
    </row>
    <row r="182" spans="1:6" s="8" customFormat="1" x14ac:dyDescent="0.25">
      <c r="A182" s="3"/>
      <c r="B182" s="10"/>
      <c r="C182" s="10"/>
      <c r="D182" s="3"/>
      <c r="E182" s="133"/>
      <c r="F182" s="133"/>
    </row>
    <row r="183" spans="1:6" s="8" customFormat="1" x14ac:dyDescent="0.25">
      <c r="A183" s="3"/>
      <c r="B183" s="10"/>
      <c r="C183" s="10"/>
      <c r="D183" s="3"/>
      <c r="E183" s="133"/>
      <c r="F183" s="133"/>
    </row>
    <row r="184" spans="1:6" s="8" customFormat="1" x14ac:dyDescent="0.25">
      <c r="A184" s="3"/>
      <c r="B184" s="10"/>
      <c r="C184" s="10"/>
      <c r="D184" s="3"/>
      <c r="E184" s="133"/>
      <c r="F184" s="133"/>
    </row>
    <row r="185" spans="1:6" s="8" customFormat="1" x14ac:dyDescent="0.25">
      <c r="A185" s="3"/>
      <c r="B185" s="10"/>
      <c r="C185" s="10"/>
      <c r="D185" s="3"/>
      <c r="E185" s="133"/>
      <c r="F185" s="133"/>
    </row>
    <row r="186" spans="1:6" s="8" customFormat="1" x14ac:dyDescent="0.25">
      <c r="A186" s="3"/>
      <c r="B186" s="10"/>
      <c r="C186" s="10"/>
      <c r="D186" s="3"/>
      <c r="E186" s="133"/>
      <c r="F186" s="133"/>
    </row>
    <row r="187" spans="1:6" s="8" customFormat="1" x14ac:dyDescent="0.25">
      <c r="A187" s="3"/>
      <c r="B187" s="10"/>
      <c r="C187" s="10"/>
      <c r="D187" s="3"/>
      <c r="E187" s="133"/>
      <c r="F187" s="133"/>
    </row>
    <row r="188" spans="1:6" s="8" customFormat="1" x14ac:dyDescent="0.25">
      <c r="A188" s="3"/>
      <c r="B188" s="10"/>
      <c r="C188" s="10"/>
      <c r="D188" s="3"/>
      <c r="E188" s="133"/>
      <c r="F188" s="133"/>
    </row>
    <row r="189" spans="1:6" s="8" customFormat="1" x14ac:dyDescent="0.25">
      <c r="A189" s="3"/>
      <c r="B189" s="10"/>
      <c r="C189" s="10"/>
      <c r="D189" s="3"/>
      <c r="E189" s="133"/>
      <c r="F189" s="133"/>
    </row>
    <row r="190" spans="1:6" s="8" customFormat="1" x14ac:dyDescent="0.25">
      <c r="A190" s="3"/>
      <c r="B190" s="10"/>
      <c r="C190" s="10"/>
      <c r="D190" s="3"/>
      <c r="E190" s="133"/>
      <c r="F190" s="133"/>
    </row>
    <row r="191" spans="1:6" s="8" customFormat="1" x14ac:dyDescent="0.25">
      <c r="A191" s="3"/>
      <c r="B191" s="10"/>
      <c r="C191" s="10"/>
      <c r="D191" s="3"/>
      <c r="E191" s="133"/>
      <c r="F191" s="133"/>
    </row>
    <row r="192" spans="1:6" s="8" customFormat="1" x14ac:dyDescent="0.25">
      <c r="A192" s="3"/>
      <c r="B192" s="10"/>
      <c r="C192" s="10"/>
      <c r="D192" s="3"/>
      <c r="E192" s="133"/>
      <c r="F192" s="133"/>
    </row>
    <row r="193" spans="1:6" s="8" customFormat="1" x14ac:dyDescent="0.25">
      <c r="A193" s="3"/>
      <c r="B193" s="10"/>
      <c r="C193" s="10"/>
      <c r="D193" s="3"/>
      <c r="E193" s="133"/>
      <c r="F193" s="133"/>
    </row>
    <row r="194" spans="1:6" s="8" customFormat="1" x14ac:dyDescent="0.25">
      <c r="A194" s="3"/>
      <c r="B194" s="10"/>
      <c r="C194" s="10"/>
      <c r="D194" s="3"/>
      <c r="E194" s="133"/>
      <c r="F194" s="133"/>
    </row>
    <row r="195" spans="1:6" s="8" customFormat="1" x14ac:dyDescent="0.25">
      <c r="A195" s="3"/>
      <c r="B195" s="10"/>
      <c r="C195" s="10"/>
      <c r="D195" s="3"/>
      <c r="E195" s="133"/>
      <c r="F195" s="133"/>
    </row>
    <row r="196" spans="1:6" s="8" customFormat="1" x14ac:dyDescent="0.25">
      <c r="A196" s="3"/>
      <c r="B196" s="10"/>
      <c r="C196" s="10"/>
      <c r="D196" s="3"/>
      <c r="E196" s="133"/>
      <c r="F196" s="133"/>
    </row>
    <row r="197" spans="1:6" s="8" customFormat="1" x14ac:dyDescent="0.25">
      <c r="A197" s="3"/>
      <c r="B197" s="10"/>
      <c r="C197" s="10"/>
      <c r="D197" s="3"/>
      <c r="E197" s="133"/>
      <c r="F197" s="133"/>
    </row>
    <row r="198" spans="1:6" s="8" customFormat="1" x14ac:dyDescent="0.25">
      <c r="A198" s="3"/>
      <c r="B198" s="10"/>
      <c r="C198" s="10"/>
      <c r="D198" s="3"/>
      <c r="E198" s="133"/>
      <c r="F198" s="133"/>
    </row>
    <row r="199" spans="1:6" s="8" customFormat="1" x14ac:dyDescent="0.25">
      <c r="A199" s="3"/>
      <c r="B199" s="10"/>
      <c r="C199" s="10"/>
      <c r="D199" s="3"/>
      <c r="E199" s="133"/>
      <c r="F199" s="133"/>
    </row>
    <row r="200" spans="1:6" s="8" customFormat="1" x14ac:dyDescent="0.25">
      <c r="A200" s="3"/>
      <c r="B200" s="10"/>
      <c r="C200" s="10"/>
      <c r="D200" s="3"/>
      <c r="E200" s="133"/>
      <c r="F200" s="133"/>
    </row>
    <row r="201" spans="1:6" s="8" customFormat="1" x14ac:dyDescent="0.25">
      <c r="A201" s="3"/>
      <c r="B201" s="10"/>
      <c r="C201" s="10"/>
      <c r="D201" s="3"/>
      <c r="E201" s="133"/>
      <c r="F201" s="133"/>
    </row>
    <row r="202" spans="1:6" s="8" customFormat="1" x14ac:dyDescent="0.25">
      <c r="A202" s="3"/>
      <c r="B202" s="10"/>
      <c r="C202" s="10"/>
      <c r="D202" s="3"/>
      <c r="E202" s="133"/>
      <c r="F202" s="133"/>
    </row>
    <row r="203" spans="1:6" s="8" customFormat="1" x14ac:dyDescent="0.25">
      <c r="A203" s="3"/>
      <c r="B203" s="10"/>
      <c r="C203" s="10"/>
      <c r="D203" s="3"/>
      <c r="E203" s="133"/>
      <c r="F203" s="133"/>
    </row>
    <row r="204" spans="1:6" s="8" customFormat="1" x14ac:dyDescent="0.25">
      <c r="A204" s="3"/>
      <c r="B204" s="10"/>
      <c r="C204" s="10"/>
      <c r="D204" s="3"/>
      <c r="E204" s="133"/>
      <c r="F204" s="133"/>
    </row>
    <row r="205" spans="1:6" s="8" customFormat="1" x14ac:dyDescent="0.25">
      <c r="A205" s="3"/>
      <c r="B205" s="10"/>
      <c r="C205" s="10"/>
      <c r="D205" s="3"/>
      <c r="E205" s="133"/>
      <c r="F205" s="133"/>
    </row>
    <row r="206" spans="1:6" s="8" customFormat="1" x14ac:dyDescent="0.25">
      <c r="A206" s="3"/>
      <c r="B206" s="10"/>
      <c r="C206" s="10"/>
      <c r="D206" s="3"/>
      <c r="E206" s="133"/>
      <c r="F206" s="133"/>
    </row>
    <row r="207" spans="1:6" s="8" customFormat="1" x14ac:dyDescent="0.25">
      <c r="A207" s="3"/>
      <c r="B207" s="10"/>
      <c r="C207" s="10"/>
      <c r="D207" s="3"/>
      <c r="E207" s="133"/>
      <c r="F207" s="133"/>
    </row>
    <row r="208" spans="1:6" s="8" customFormat="1" x14ac:dyDescent="0.25">
      <c r="A208" s="3"/>
      <c r="B208" s="10"/>
      <c r="C208" s="10"/>
      <c r="D208" s="3"/>
      <c r="E208" s="133"/>
      <c r="F208" s="133"/>
    </row>
    <row r="209" spans="1:6" s="8" customFormat="1" x14ac:dyDescent="0.25">
      <c r="A209" s="3"/>
      <c r="B209" s="10"/>
      <c r="C209" s="10"/>
      <c r="D209" s="3"/>
      <c r="E209" s="133"/>
      <c r="F209" s="133"/>
    </row>
    <row r="210" spans="1:6" s="8" customFormat="1" x14ac:dyDescent="0.25">
      <c r="A210" s="3"/>
      <c r="B210" s="10"/>
      <c r="C210" s="10"/>
      <c r="D210" s="3"/>
      <c r="E210" s="133"/>
      <c r="F210" s="133"/>
    </row>
    <row r="211" spans="1:6" s="8" customFormat="1" x14ac:dyDescent="0.25">
      <c r="A211" s="3"/>
      <c r="B211" s="10"/>
      <c r="C211" s="10"/>
      <c r="D211" s="3"/>
      <c r="E211" s="133"/>
      <c r="F211" s="133"/>
    </row>
    <row r="212" spans="1:6" s="8" customFormat="1" x14ac:dyDescent="0.25">
      <c r="A212" s="3"/>
      <c r="B212" s="10"/>
      <c r="C212" s="10"/>
      <c r="D212" s="3"/>
      <c r="E212" s="133"/>
      <c r="F212" s="133"/>
    </row>
    <row r="213" spans="1:6" s="8" customFormat="1" x14ac:dyDescent="0.25">
      <c r="A213" s="3"/>
      <c r="B213" s="10"/>
      <c r="C213" s="10"/>
      <c r="D213" s="3"/>
      <c r="E213" s="133"/>
      <c r="F213" s="133"/>
    </row>
    <row r="214" spans="1:6" s="8" customFormat="1" x14ac:dyDescent="0.25">
      <c r="A214" s="3"/>
      <c r="B214" s="10"/>
      <c r="C214" s="10"/>
      <c r="D214" s="3"/>
      <c r="E214" s="133"/>
      <c r="F214" s="133"/>
    </row>
    <row r="215" spans="1:6" s="8" customFormat="1" x14ac:dyDescent="0.25">
      <c r="A215" s="3"/>
      <c r="B215" s="10"/>
      <c r="C215" s="10"/>
      <c r="D215" s="3"/>
      <c r="E215" s="133"/>
      <c r="F215" s="133"/>
    </row>
    <row r="216" spans="1:6" s="8" customFormat="1" x14ac:dyDescent="0.25">
      <c r="A216" s="3"/>
      <c r="B216" s="10"/>
      <c r="C216" s="10"/>
      <c r="D216" s="3"/>
      <c r="E216" s="133"/>
      <c r="F216" s="133"/>
    </row>
    <row r="217" spans="1:6" s="8" customFormat="1" x14ac:dyDescent="0.25">
      <c r="A217" s="3"/>
      <c r="B217" s="10"/>
      <c r="C217" s="10"/>
      <c r="D217" s="3"/>
      <c r="E217" s="133"/>
      <c r="F217" s="133"/>
    </row>
    <row r="218" spans="1:6" s="8" customFormat="1" x14ac:dyDescent="0.25">
      <c r="A218" s="3"/>
      <c r="B218" s="10"/>
      <c r="C218" s="10"/>
      <c r="D218" s="3"/>
      <c r="E218" s="133"/>
      <c r="F218" s="133"/>
    </row>
    <row r="219" spans="1:6" s="8" customFormat="1" x14ac:dyDescent="0.25">
      <c r="A219" s="3"/>
      <c r="B219" s="10"/>
      <c r="C219" s="10"/>
      <c r="D219" s="3"/>
      <c r="E219" s="133"/>
      <c r="F219" s="133"/>
    </row>
    <row r="220" spans="1:6" s="8" customFormat="1" x14ac:dyDescent="0.25">
      <c r="A220" s="3"/>
      <c r="B220" s="10"/>
      <c r="C220" s="10"/>
      <c r="D220" s="3"/>
      <c r="E220" s="133"/>
      <c r="F220" s="133"/>
    </row>
    <row r="221" spans="1:6" s="8" customFormat="1" x14ac:dyDescent="0.25">
      <c r="A221" s="3"/>
      <c r="B221" s="10"/>
      <c r="C221" s="10"/>
      <c r="D221" s="3"/>
      <c r="E221" s="133"/>
      <c r="F221" s="133"/>
    </row>
    <row r="222" spans="1:6" s="8" customFormat="1" x14ac:dyDescent="0.25">
      <c r="A222" s="3"/>
      <c r="B222" s="10"/>
      <c r="C222" s="10"/>
      <c r="D222" s="3"/>
      <c r="E222" s="133"/>
      <c r="F222" s="133"/>
    </row>
    <row r="223" spans="1:6" s="8" customFormat="1" x14ac:dyDescent="0.25">
      <c r="A223" s="3"/>
      <c r="B223" s="10"/>
      <c r="C223" s="10"/>
      <c r="D223" s="3"/>
      <c r="E223" s="133"/>
      <c r="F223" s="133"/>
    </row>
  </sheetData>
  <sheetProtection algorithmName="SHA-512" hashValue="6AoAlBjra2gVEIEUUtYjRyE5d2B1Li28zzHirW6xq0KsOcMEOcdMKJEC++CCHoLdIaDBmGrxrzqB02+V+BejJw==" saltValue="YZtnR0H8y2fEcoJi/9H2Ag==" spinCount="100000" sheet="1" objects="1" scenarios="1" selectLockedCells="1"/>
  <mergeCells count="1">
    <mergeCell ref="A1:F2"/>
  </mergeCells>
  <pageMargins left="4.8425196850393704" right="0.70866141732283472" top="1.1417322834645669" bottom="0.74803149606299213" header="0.31496062992125984" footer="0.31496062992125984"/>
  <pageSetup paperSize="8" orientation="landscape"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223"/>
  <sheetViews>
    <sheetView showGridLines="0" zoomScaleNormal="100" workbookViewId="0">
      <selection activeCell="D4" sqref="D4"/>
    </sheetView>
  </sheetViews>
  <sheetFormatPr defaultColWidth="8.85546875" defaultRowHeight="11.25" outlineLevelCol="1" x14ac:dyDescent="0.25"/>
  <cols>
    <col min="1" max="1" width="6.7109375" style="3" customWidth="1"/>
    <col min="2" max="2" width="55.85546875" style="10" customWidth="1"/>
    <col min="3" max="3" width="8.7109375" style="3" customWidth="1"/>
    <col min="4" max="4" width="14.7109375" style="133" customWidth="1"/>
    <col min="5" max="5" width="15.7109375" style="133" customWidth="1"/>
    <col min="6" max="6" width="8.85546875" style="3"/>
    <col min="7" max="8" width="8.85546875" style="3" hidden="1" customWidth="1" outlineLevel="1"/>
    <col min="9" max="9" width="8.85546875" style="3" collapsed="1"/>
    <col min="10" max="16384" width="8.85546875" style="3"/>
  </cols>
  <sheetData>
    <row r="1" spans="1:8" ht="11.25" customHeight="1" x14ac:dyDescent="0.25">
      <c r="A1" s="289" t="s">
        <v>1076</v>
      </c>
      <c r="B1" s="289"/>
      <c r="C1" s="289"/>
      <c r="D1" s="289"/>
      <c r="E1" s="289"/>
    </row>
    <row r="2" spans="1:8" ht="11.25" customHeight="1" x14ac:dyDescent="0.25">
      <c r="A2" s="289"/>
      <c r="B2" s="289"/>
      <c r="C2" s="289"/>
      <c r="D2" s="289"/>
      <c r="E2" s="289"/>
    </row>
    <row r="3" spans="1:8" s="7" customFormat="1" ht="31.5" x14ac:dyDescent="0.25">
      <c r="A3" s="1" t="s">
        <v>1119</v>
      </c>
      <c r="B3" s="1" t="s">
        <v>814</v>
      </c>
      <c r="C3" s="1" t="s">
        <v>1593</v>
      </c>
      <c r="D3" s="187" t="s">
        <v>1596</v>
      </c>
      <c r="E3" s="6" t="s">
        <v>1600</v>
      </c>
      <c r="G3" s="7" t="s">
        <v>1323</v>
      </c>
      <c r="H3" s="7" t="s">
        <v>1328</v>
      </c>
    </row>
    <row r="4" spans="1:8" s="8" customFormat="1" x14ac:dyDescent="0.25">
      <c r="A4" s="253" t="s">
        <v>4</v>
      </c>
      <c r="B4" s="254" t="s">
        <v>899</v>
      </c>
      <c r="C4" s="255">
        <v>70</v>
      </c>
      <c r="D4" s="237"/>
      <c r="E4" s="236">
        <f>Odonto_Instrum_Dental_Speed_Graph[[#This Row],[VALOR UNID ]]*Odonto_Instrum_Dados[[#This Row],[QUANT ]]</f>
        <v>0</v>
      </c>
      <c r="G4" s="8">
        <f>Odonto_Instrum_Dental_Speed_Graph[[#This Row],[VALOR UNID ]]</f>
        <v>0</v>
      </c>
      <c r="H4" s="8" t="e">
        <f>#REF!</f>
        <v>#REF!</v>
      </c>
    </row>
    <row r="5" spans="1:8" s="8" customFormat="1" ht="22.5" x14ac:dyDescent="0.25">
      <c r="A5" s="22" t="s">
        <v>9</v>
      </c>
      <c r="B5" s="21" t="s">
        <v>900</v>
      </c>
      <c r="C5" s="4">
        <v>70</v>
      </c>
      <c r="D5" s="176"/>
      <c r="E5" s="13">
        <f>Odonto_Instrum_Dental_Speed_Graph[[#This Row],[VALOR UNID ]]*Odonto_Instrum_Dados[[#This Row],[QUANT ]]</f>
        <v>0</v>
      </c>
      <c r="G5" s="8">
        <f>Odonto_Instrum_Dental_Speed_Graph[[#This Row],[VALOR UNID ]]</f>
        <v>0</v>
      </c>
      <c r="H5" s="8" t="e">
        <f>#REF!</f>
        <v>#REF!</v>
      </c>
    </row>
    <row r="6" spans="1:8" s="8" customFormat="1" ht="33.75" x14ac:dyDescent="0.25">
      <c r="A6" s="253" t="s">
        <v>12</v>
      </c>
      <c r="B6" s="254" t="s">
        <v>901</v>
      </c>
      <c r="C6" s="255">
        <v>9</v>
      </c>
      <c r="D6" s="237"/>
      <c r="E6" s="236">
        <f>Odonto_Instrum_Dental_Speed_Graph[[#This Row],[VALOR UNID ]]*Odonto_Instrum_Dados[[#This Row],[QUANT ]]</f>
        <v>0</v>
      </c>
      <c r="G6" s="8">
        <f>Odonto_Instrum_Dental_Speed_Graph[[#This Row],[VALOR UNID ]]</f>
        <v>0</v>
      </c>
      <c r="H6" s="8" t="e">
        <f>#REF!</f>
        <v>#REF!</v>
      </c>
    </row>
    <row r="7" spans="1:8" s="8" customFormat="1" ht="56.25" x14ac:dyDescent="0.25">
      <c r="A7" s="22" t="s">
        <v>15</v>
      </c>
      <c r="B7" s="21" t="s">
        <v>902</v>
      </c>
      <c r="C7" s="4">
        <v>42</v>
      </c>
      <c r="D7" s="176"/>
      <c r="E7" s="13">
        <f>Odonto_Instrum_Dental_Speed_Graph[[#This Row],[VALOR UNID ]]*Odonto_Instrum_Dados[[#This Row],[QUANT ]]</f>
        <v>0</v>
      </c>
      <c r="G7" s="8">
        <f>Odonto_Instrum_Dental_Speed_Graph[[#This Row],[VALOR UNID ]]</f>
        <v>0</v>
      </c>
      <c r="H7" s="8" t="e">
        <f>#REF!</f>
        <v>#REF!</v>
      </c>
    </row>
    <row r="8" spans="1:8" s="8" customFormat="1" ht="22.5" x14ac:dyDescent="0.25">
      <c r="A8" s="253" t="s">
        <v>18</v>
      </c>
      <c r="B8" s="254" t="s">
        <v>903</v>
      </c>
      <c r="C8" s="255">
        <v>84</v>
      </c>
      <c r="D8" s="237"/>
      <c r="E8" s="236">
        <f>Odonto_Instrum_Dental_Speed_Graph[[#This Row],[VALOR UNID ]]*Odonto_Instrum_Dados[[#This Row],[QUANT ]]</f>
        <v>0</v>
      </c>
      <c r="G8" s="8">
        <f>Odonto_Instrum_Dental_Speed_Graph[[#This Row],[VALOR UNID ]]</f>
        <v>0</v>
      </c>
      <c r="H8" s="8" t="e">
        <f>#REF!</f>
        <v>#REF!</v>
      </c>
    </row>
    <row r="9" spans="1:8" s="8" customFormat="1" ht="33.75" x14ac:dyDescent="0.25">
      <c r="A9" s="22" t="s">
        <v>21</v>
      </c>
      <c r="B9" s="25" t="s">
        <v>923</v>
      </c>
      <c r="C9" s="4">
        <v>42</v>
      </c>
      <c r="D9" s="176"/>
      <c r="E9" s="13">
        <f>Odonto_Instrum_Dental_Speed_Graph[[#This Row],[VALOR UNID ]]*Odonto_Instrum_Dados[[#This Row],[QUANT ]]</f>
        <v>0</v>
      </c>
      <c r="G9" s="8">
        <f>Odonto_Instrum_Dental_Speed_Graph[[#This Row],[VALOR UNID ]]</f>
        <v>0</v>
      </c>
      <c r="H9" s="8" t="e">
        <f>#REF!</f>
        <v>#REF!</v>
      </c>
    </row>
    <row r="10" spans="1:8" s="8" customFormat="1" x14ac:dyDescent="0.25">
      <c r="A10" s="253" t="s">
        <v>24</v>
      </c>
      <c r="B10" s="256" t="s">
        <v>924</v>
      </c>
      <c r="C10" s="255">
        <v>70</v>
      </c>
      <c r="D10" s="237"/>
      <c r="E10" s="236">
        <f>Odonto_Instrum_Dental_Speed_Graph[[#This Row],[VALOR UNID ]]*Odonto_Instrum_Dados[[#This Row],[QUANT ]]</f>
        <v>0</v>
      </c>
      <c r="G10" s="8">
        <f>Odonto_Instrum_Dental_Speed_Graph[[#This Row],[VALOR UNID ]]</f>
        <v>0</v>
      </c>
      <c r="H10" s="8" t="e">
        <f>#REF!</f>
        <v>#REF!</v>
      </c>
    </row>
    <row r="11" spans="1:8" s="8" customFormat="1" ht="56.25" x14ac:dyDescent="0.25">
      <c r="A11" s="22" t="s">
        <v>28</v>
      </c>
      <c r="B11" s="25" t="s">
        <v>925</v>
      </c>
      <c r="C11" s="4">
        <v>84</v>
      </c>
      <c r="D11" s="176"/>
      <c r="E11" s="13">
        <f>Odonto_Instrum_Dental_Speed_Graph[[#This Row],[VALOR UNID ]]*Odonto_Instrum_Dados[[#This Row],[QUANT ]]</f>
        <v>0</v>
      </c>
      <c r="G11" s="8">
        <f>Odonto_Instrum_Dental_Speed_Graph[[#This Row],[VALOR UNID ]]</f>
        <v>0</v>
      </c>
      <c r="H11" s="8" t="e">
        <f>#REF!</f>
        <v>#REF!</v>
      </c>
    </row>
    <row r="12" spans="1:8" s="8" customFormat="1" ht="56.25" x14ac:dyDescent="0.25">
      <c r="A12" s="253" t="s">
        <v>29</v>
      </c>
      <c r="B12" s="256" t="s">
        <v>926</v>
      </c>
      <c r="C12" s="255">
        <v>42</v>
      </c>
      <c r="D12" s="237"/>
      <c r="E12" s="236">
        <f>Odonto_Instrum_Dental_Speed_Graph[[#This Row],[VALOR UNID ]]*Odonto_Instrum_Dados[[#This Row],[QUANT ]]</f>
        <v>0</v>
      </c>
      <c r="G12" s="8">
        <f>Odonto_Instrum_Dental_Speed_Graph[[#This Row],[VALOR UNID ]]</f>
        <v>0</v>
      </c>
      <c r="H12" s="8" t="e">
        <f>#REF!</f>
        <v>#REF!</v>
      </c>
    </row>
    <row r="13" spans="1:8" s="8" customFormat="1" ht="33.75" x14ac:dyDescent="0.25">
      <c r="A13" s="22" t="s">
        <v>31</v>
      </c>
      <c r="B13" s="25" t="s">
        <v>927</v>
      </c>
      <c r="C13" s="4">
        <v>42</v>
      </c>
      <c r="D13" s="176"/>
      <c r="E13" s="13">
        <f>Odonto_Instrum_Dental_Speed_Graph[[#This Row],[VALOR UNID ]]*Odonto_Instrum_Dados[[#This Row],[QUANT ]]</f>
        <v>0</v>
      </c>
      <c r="G13" s="8">
        <f>Odonto_Instrum_Dental_Speed_Graph[[#This Row],[VALOR UNID ]]</f>
        <v>0</v>
      </c>
      <c r="H13" s="8" t="e">
        <f>#REF!</f>
        <v>#REF!</v>
      </c>
    </row>
    <row r="14" spans="1:8" s="8" customFormat="1" ht="33.75" x14ac:dyDescent="0.25">
      <c r="A14" s="253" t="s">
        <v>35</v>
      </c>
      <c r="B14" s="256" t="s">
        <v>928</v>
      </c>
      <c r="C14" s="255">
        <v>14</v>
      </c>
      <c r="D14" s="237"/>
      <c r="E14" s="236">
        <f>Odonto_Instrum_Dental_Speed_Graph[[#This Row],[VALOR UNID ]]*Odonto_Instrum_Dados[[#This Row],[QUANT ]]</f>
        <v>0</v>
      </c>
      <c r="G14" s="8">
        <f>Odonto_Instrum_Dental_Speed_Graph[[#This Row],[VALOR UNID ]]</f>
        <v>0</v>
      </c>
      <c r="H14" s="8" t="e">
        <f>#REF!</f>
        <v>#REF!</v>
      </c>
    </row>
    <row r="15" spans="1:8" s="8" customFormat="1" ht="33.75" x14ac:dyDescent="0.25">
      <c r="A15" s="22" t="s">
        <v>37</v>
      </c>
      <c r="B15" s="25" t="s">
        <v>929</v>
      </c>
      <c r="C15" s="4">
        <v>42</v>
      </c>
      <c r="D15" s="176"/>
      <c r="E15" s="13">
        <f>Odonto_Instrum_Dental_Speed_Graph[[#This Row],[VALOR UNID ]]*Odonto_Instrum_Dados[[#This Row],[QUANT ]]</f>
        <v>0</v>
      </c>
      <c r="G15" s="8">
        <f>Odonto_Instrum_Dental_Speed_Graph[[#This Row],[VALOR UNID ]]</f>
        <v>0</v>
      </c>
      <c r="H15" s="8" t="e">
        <f>#REF!</f>
        <v>#REF!</v>
      </c>
    </row>
    <row r="16" spans="1:8" s="8" customFormat="1" x14ac:dyDescent="0.25">
      <c r="A16" s="253" t="s">
        <v>41</v>
      </c>
      <c r="B16" s="256" t="s">
        <v>930</v>
      </c>
      <c r="C16" s="255">
        <v>28</v>
      </c>
      <c r="D16" s="237"/>
      <c r="E16" s="236">
        <f>Odonto_Instrum_Dental_Speed_Graph[[#This Row],[VALOR UNID ]]*Odonto_Instrum_Dados[[#This Row],[QUANT ]]</f>
        <v>0</v>
      </c>
      <c r="G16" s="8">
        <f>Odonto_Instrum_Dental_Speed_Graph[[#This Row],[VALOR UNID ]]</f>
        <v>0</v>
      </c>
      <c r="H16" s="8" t="e">
        <f>#REF!</f>
        <v>#REF!</v>
      </c>
    </row>
    <row r="17" spans="1:8" s="8" customFormat="1" x14ac:dyDescent="0.25">
      <c r="A17" s="22" t="s">
        <v>43</v>
      </c>
      <c r="B17" s="25" t="s">
        <v>931</v>
      </c>
      <c r="C17" s="4">
        <v>70</v>
      </c>
      <c r="D17" s="176"/>
      <c r="E17" s="13">
        <f>Odonto_Instrum_Dental_Speed_Graph[[#This Row],[VALOR UNID ]]*Odonto_Instrum_Dados[[#This Row],[QUANT ]]</f>
        <v>0</v>
      </c>
      <c r="G17" s="8">
        <f>Odonto_Instrum_Dental_Speed_Graph[[#This Row],[VALOR UNID ]]</f>
        <v>0</v>
      </c>
      <c r="H17" s="8" t="e">
        <f>#REF!</f>
        <v>#REF!</v>
      </c>
    </row>
    <row r="18" spans="1:8" s="8" customFormat="1" x14ac:dyDescent="0.25">
      <c r="A18" s="253" t="s">
        <v>46</v>
      </c>
      <c r="B18" s="256" t="s">
        <v>932</v>
      </c>
      <c r="C18" s="255">
        <v>42</v>
      </c>
      <c r="D18" s="237"/>
      <c r="E18" s="236">
        <f>Odonto_Instrum_Dental_Speed_Graph[[#This Row],[VALOR UNID ]]*Odonto_Instrum_Dados[[#This Row],[QUANT ]]</f>
        <v>0</v>
      </c>
      <c r="G18" s="8">
        <f>Odonto_Instrum_Dental_Speed_Graph[[#This Row],[VALOR UNID ]]</f>
        <v>0</v>
      </c>
      <c r="H18" s="8" t="e">
        <f>#REF!</f>
        <v>#REF!</v>
      </c>
    </row>
    <row r="19" spans="1:8" s="8" customFormat="1" x14ac:dyDescent="0.25">
      <c r="A19" s="22" t="s">
        <v>49</v>
      </c>
      <c r="B19" s="25" t="s">
        <v>933</v>
      </c>
      <c r="C19" s="4">
        <v>42</v>
      </c>
      <c r="D19" s="176"/>
      <c r="E19" s="13">
        <f>Odonto_Instrum_Dental_Speed_Graph[[#This Row],[VALOR UNID ]]*Odonto_Instrum_Dados[[#This Row],[QUANT ]]</f>
        <v>0</v>
      </c>
      <c r="G19" s="8">
        <f>Odonto_Instrum_Dental_Speed_Graph[[#This Row],[VALOR UNID ]]</f>
        <v>0</v>
      </c>
      <c r="H19" s="8" t="e">
        <f>#REF!</f>
        <v>#REF!</v>
      </c>
    </row>
    <row r="20" spans="1:8" s="8" customFormat="1" x14ac:dyDescent="0.25">
      <c r="A20" s="253" t="s">
        <v>53</v>
      </c>
      <c r="B20" s="256" t="s">
        <v>934</v>
      </c>
      <c r="C20" s="255">
        <v>42</v>
      </c>
      <c r="D20" s="237"/>
      <c r="E20" s="236">
        <f>Odonto_Instrum_Dental_Speed_Graph[[#This Row],[VALOR UNID ]]*Odonto_Instrum_Dados[[#This Row],[QUANT ]]</f>
        <v>0</v>
      </c>
      <c r="G20" s="8">
        <f>Odonto_Instrum_Dental_Speed_Graph[[#This Row],[VALOR UNID ]]</f>
        <v>0</v>
      </c>
      <c r="H20" s="8" t="e">
        <f>#REF!</f>
        <v>#REF!</v>
      </c>
    </row>
    <row r="21" spans="1:8" s="8" customFormat="1" x14ac:dyDescent="0.25">
      <c r="A21" s="22" t="s">
        <v>57</v>
      </c>
      <c r="B21" s="25" t="s">
        <v>935</v>
      </c>
      <c r="C21" s="4">
        <v>42</v>
      </c>
      <c r="D21" s="176"/>
      <c r="E21" s="13">
        <f>Odonto_Instrum_Dental_Speed_Graph[[#This Row],[VALOR UNID ]]*Odonto_Instrum_Dados[[#This Row],[QUANT ]]</f>
        <v>0</v>
      </c>
      <c r="G21" s="8">
        <f>Odonto_Instrum_Dental_Speed_Graph[[#This Row],[VALOR UNID ]]</f>
        <v>0</v>
      </c>
      <c r="H21" s="8" t="e">
        <f>#REF!</f>
        <v>#REF!</v>
      </c>
    </row>
    <row r="22" spans="1:8" s="8" customFormat="1" x14ac:dyDescent="0.25">
      <c r="A22" s="253" t="s">
        <v>59</v>
      </c>
      <c r="B22" s="256" t="s">
        <v>936</v>
      </c>
      <c r="C22" s="255">
        <v>42</v>
      </c>
      <c r="D22" s="237"/>
      <c r="E22" s="236">
        <f>Odonto_Instrum_Dental_Speed_Graph[[#This Row],[VALOR UNID ]]*Odonto_Instrum_Dados[[#This Row],[QUANT ]]</f>
        <v>0</v>
      </c>
      <c r="G22" s="8">
        <f>Odonto_Instrum_Dental_Speed_Graph[[#This Row],[VALOR UNID ]]</f>
        <v>0</v>
      </c>
      <c r="H22" s="8" t="e">
        <f>#REF!</f>
        <v>#REF!</v>
      </c>
    </row>
    <row r="23" spans="1:8" s="8" customFormat="1" x14ac:dyDescent="0.25">
      <c r="A23" s="22" t="s">
        <v>62</v>
      </c>
      <c r="B23" s="25" t="s">
        <v>937</v>
      </c>
      <c r="C23" s="4">
        <v>70</v>
      </c>
      <c r="D23" s="176"/>
      <c r="E23" s="13">
        <f>Odonto_Instrum_Dental_Speed_Graph[[#This Row],[VALOR UNID ]]*Odonto_Instrum_Dados[[#This Row],[QUANT ]]</f>
        <v>0</v>
      </c>
      <c r="G23" s="8">
        <f>Odonto_Instrum_Dental_Speed_Graph[[#This Row],[VALOR UNID ]]</f>
        <v>0</v>
      </c>
      <c r="H23" s="8" t="e">
        <f>#REF!</f>
        <v>#REF!</v>
      </c>
    </row>
    <row r="24" spans="1:8" s="8" customFormat="1" x14ac:dyDescent="0.25">
      <c r="A24" s="253" t="s">
        <v>65</v>
      </c>
      <c r="B24" s="256" t="s">
        <v>938</v>
      </c>
      <c r="C24" s="255">
        <v>70</v>
      </c>
      <c r="D24" s="237"/>
      <c r="E24" s="236">
        <f>Odonto_Instrum_Dental_Speed_Graph[[#This Row],[VALOR UNID ]]*Odonto_Instrum_Dados[[#This Row],[QUANT ]]</f>
        <v>0</v>
      </c>
      <c r="G24" s="8">
        <f>Odonto_Instrum_Dental_Speed_Graph[[#This Row],[VALOR UNID ]]</f>
        <v>0</v>
      </c>
      <c r="H24" s="8" t="e">
        <f>#REF!</f>
        <v>#REF!</v>
      </c>
    </row>
    <row r="25" spans="1:8" s="8" customFormat="1" ht="22.5" x14ac:dyDescent="0.25">
      <c r="A25" s="22" t="s">
        <v>67</v>
      </c>
      <c r="B25" s="25" t="s">
        <v>939</v>
      </c>
      <c r="C25" s="4">
        <v>70</v>
      </c>
      <c r="D25" s="176"/>
      <c r="E25" s="13">
        <f>Odonto_Instrum_Dental_Speed_Graph[[#This Row],[VALOR UNID ]]*Odonto_Instrum_Dados[[#This Row],[QUANT ]]</f>
        <v>0</v>
      </c>
      <c r="G25" s="8">
        <f>Odonto_Instrum_Dental_Speed_Graph[[#This Row],[VALOR UNID ]]</f>
        <v>0</v>
      </c>
      <c r="H25" s="8" t="e">
        <f>#REF!</f>
        <v>#REF!</v>
      </c>
    </row>
    <row r="26" spans="1:8" s="8" customFormat="1" x14ac:dyDescent="0.25">
      <c r="A26" s="253" t="s">
        <v>70</v>
      </c>
      <c r="B26" s="256" t="s">
        <v>940</v>
      </c>
      <c r="C26" s="255">
        <v>70</v>
      </c>
      <c r="D26" s="237"/>
      <c r="E26" s="236">
        <f>Odonto_Instrum_Dental_Speed_Graph[[#This Row],[VALOR UNID ]]*Odonto_Instrum_Dados[[#This Row],[QUANT ]]</f>
        <v>0</v>
      </c>
      <c r="G26" s="8">
        <f>Odonto_Instrum_Dental_Speed_Graph[[#This Row],[VALOR UNID ]]</f>
        <v>0</v>
      </c>
      <c r="H26" s="8" t="e">
        <f>#REF!</f>
        <v>#REF!</v>
      </c>
    </row>
    <row r="27" spans="1:8" s="8" customFormat="1" x14ac:dyDescent="0.25">
      <c r="A27" s="22" t="s">
        <v>73</v>
      </c>
      <c r="B27" s="25" t="s">
        <v>941</v>
      </c>
      <c r="C27" s="4">
        <v>70</v>
      </c>
      <c r="D27" s="176"/>
      <c r="E27" s="13">
        <f>Odonto_Instrum_Dental_Speed_Graph[[#This Row],[VALOR UNID ]]*Odonto_Instrum_Dados[[#This Row],[QUANT ]]</f>
        <v>0</v>
      </c>
      <c r="G27" s="8">
        <f>Odonto_Instrum_Dental_Speed_Graph[[#This Row],[VALOR UNID ]]</f>
        <v>0</v>
      </c>
      <c r="H27" s="8" t="e">
        <f>#REF!</f>
        <v>#REF!</v>
      </c>
    </row>
    <row r="28" spans="1:8" s="8" customFormat="1" x14ac:dyDescent="0.25">
      <c r="A28" s="253" t="s">
        <v>75</v>
      </c>
      <c r="B28" s="256" t="s">
        <v>942</v>
      </c>
      <c r="C28" s="255">
        <v>70</v>
      </c>
      <c r="D28" s="237"/>
      <c r="E28" s="236">
        <f>Odonto_Instrum_Dental_Speed_Graph[[#This Row],[VALOR UNID ]]*Odonto_Instrum_Dados[[#This Row],[QUANT ]]</f>
        <v>0</v>
      </c>
      <c r="G28" s="8">
        <f>Odonto_Instrum_Dental_Speed_Graph[[#This Row],[VALOR UNID ]]</f>
        <v>0</v>
      </c>
      <c r="H28" s="8" t="e">
        <f>#REF!</f>
        <v>#REF!</v>
      </c>
    </row>
    <row r="29" spans="1:8" s="8" customFormat="1" ht="67.5" x14ac:dyDescent="0.25">
      <c r="A29" s="22" t="s">
        <v>79</v>
      </c>
      <c r="B29" s="25" t="s">
        <v>943</v>
      </c>
      <c r="C29" s="4">
        <v>28</v>
      </c>
      <c r="D29" s="176"/>
      <c r="E29" s="13">
        <f>Odonto_Instrum_Dental_Speed_Graph[[#This Row],[VALOR UNID ]]*Odonto_Instrum_Dados[[#This Row],[QUANT ]]</f>
        <v>0</v>
      </c>
      <c r="G29" s="8">
        <f>Odonto_Instrum_Dental_Speed_Graph[[#This Row],[VALOR UNID ]]</f>
        <v>0</v>
      </c>
      <c r="H29" s="8" t="e">
        <f>#REF!</f>
        <v>#REF!</v>
      </c>
    </row>
    <row r="30" spans="1:8" s="8" customFormat="1" ht="67.5" x14ac:dyDescent="0.25">
      <c r="A30" s="253" t="s">
        <v>82</v>
      </c>
      <c r="B30" s="256" t="s">
        <v>944</v>
      </c>
      <c r="C30" s="255">
        <v>28</v>
      </c>
      <c r="D30" s="237"/>
      <c r="E30" s="236">
        <f>Odonto_Instrum_Dental_Speed_Graph[[#This Row],[VALOR UNID ]]*Odonto_Instrum_Dados[[#This Row],[QUANT ]]</f>
        <v>0</v>
      </c>
      <c r="G30" s="8">
        <f>Odonto_Instrum_Dental_Speed_Graph[[#This Row],[VALOR UNID ]]</f>
        <v>0</v>
      </c>
      <c r="H30" s="8" t="e">
        <f>#REF!</f>
        <v>#REF!</v>
      </c>
    </row>
    <row r="31" spans="1:8" s="8" customFormat="1" ht="67.5" x14ac:dyDescent="0.25">
      <c r="A31" s="22" t="s">
        <v>86</v>
      </c>
      <c r="B31" s="25" t="s">
        <v>945</v>
      </c>
      <c r="C31" s="4">
        <v>28</v>
      </c>
      <c r="D31" s="176"/>
      <c r="E31" s="13">
        <f>Odonto_Instrum_Dental_Speed_Graph[[#This Row],[VALOR UNID ]]*Odonto_Instrum_Dados[[#This Row],[QUANT ]]</f>
        <v>0</v>
      </c>
      <c r="G31" s="8">
        <f>Odonto_Instrum_Dental_Speed_Graph[[#This Row],[VALOR UNID ]]</f>
        <v>0</v>
      </c>
      <c r="H31" s="8" t="e">
        <f>#REF!</f>
        <v>#REF!</v>
      </c>
    </row>
    <row r="32" spans="1:8" s="8" customFormat="1" ht="56.25" x14ac:dyDescent="0.25">
      <c r="A32" s="253" t="s">
        <v>88</v>
      </c>
      <c r="B32" s="256" t="s">
        <v>946</v>
      </c>
      <c r="C32" s="255">
        <v>28</v>
      </c>
      <c r="D32" s="237"/>
      <c r="E32" s="236">
        <f>Odonto_Instrum_Dental_Speed_Graph[[#This Row],[VALOR UNID ]]*Odonto_Instrum_Dados[[#This Row],[QUANT ]]</f>
        <v>0</v>
      </c>
      <c r="G32" s="8">
        <f>Odonto_Instrum_Dental_Speed_Graph[[#This Row],[VALOR UNID ]]</f>
        <v>0</v>
      </c>
      <c r="H32" s="8" t="e">
        <f>#REF!</f>
        <v>#REF!</v>
      </c>
    </row>
    <row r="33" spans="1:8" s="8" customFormat="1" ht="33.75" x14ac:dyDescent="0.25">
      <c r="A33" s="22" t="s">
        <v>91</v>
      </c>
      <c r="B33" s="25" t="s">
        <v>947</v>
      </c>
      <c r="C33" s="4">
        <v>28</v>
      </c>
      <c r="D33" s="176"/>
      <c r="E33" s="13">
        <f>Odonto_Instrum_Dental_Speed_Graph[[#This Row],[VALOR UNID ]]*Odonto_Instrum_Dados[[#This Row],[QUANT ]]</f>
        <v>0</v>
      </c>
      <c r="G33" s="8">
        <f>Odonto_Instrum_Dental_Speed_Graph[[#This Row],[VALOR UNID ]]</f>
        <v>0</v>
      </c>
      <c r="H33" s="8" t="e">
        <f>#REF!</f>
        <v>#REF!</v>
      </c>
    </row>
    <row r="34" spans="1:8" s="8" customFormat="1" x14ac:dyDescent="0.25">
      <c r="A34" s="253" t="s">
        <v>94</v>
      </c>
      <c r="B34" s="256" t="s">
        <v>948</v>
      </c>
      <c r="C34" s="255">
        <v>28</v>
      </c>
      <c r="D34" s="237"/>
      <c r="E34" s="236">
        <f>Odonto_Instrum_Dental_Speed_Graph[[#This Row],[VALOR UNID ]]*Odonto_Instrum_Dados[[#This Row],[QUANT ]]</f>
        <v>0</v>
      </c>
      <c r="G34" s="8">
        <f>Odonto_Instrum_Dental_Speed_Graph[[#This Row],[VALOR UNID ]]</f>
        <v>0</v>
      </c>
      <c r="H34" s="8" t="e">
        <f>#REF!</f>
        <v>#REF!</v>
      </c>
    </row>
    <row r="35" spans="1:8" s="8" customFormat="1" ht="56.25" x14ac:dyDescent="0.25">
      <c r="A35" s="22" t="s">
        <v>97</v>
      </c>
      <c r="B35" s="25" t="s">
        <v>949</v>
      </c>
      <c r="C35" s="4">
        <v>84</v>
      </c>
      <c r="D35" s="176"/>
      <c r="E35" s="13">
        <f>Odonto_Instrum_Dental_Speed_Graph[[#This Row],[VALOR UNID ]]*Odonto_Instrum_Dados[[#This Row],[QUANT ]]</f>
        <v>0</v>
      </c>
      <c r="G35" s="8">
        <f>Odonto_Instrum_Dental_Speed_Graph[[#This Row],[VALOR UNID ]]</f>
        <v>0</v>
      </c>
      <c r="H35" s="8" t="e">
        <f>#REF!</f>
        <v>#REF!</v>
      </c>
    </row>
    <row r="36" spans="1:8" s="8" customFormat="1" ht="33.75" x14ac:dyDescent="0.25">
      <c r="A36" s="253" t="s">
        <v>100</v>
      </c>
      <c r="B36" s="256" t="s">
        <v>950</v>
      </c>
      <c r="C36" s="255">
        <v>84</v>
      </c>
      <c r="D36" s="237"/>
      <c r="E36" s="236">
        <f>Odonto_Instrum_Dental_Speed_Graph[[#This Row],[VALOR UNID ]]*Odonto_Instrum_Dados[[#This Row],[QUANT ]]</f>
        <v>0</v>
      </c>
      <c r="G36" s="8">
        <f>Odonto_Instrum_Dental_Speed_Graph[[#This Row],[VALOR UNID ]]</f>
        <v>0</v>
      </c>
      <c r="H36" s="8" t="e">
        <f>#REF!</f>
        <v>#REF!</v>
      </c>
    </row>
    <row r="37" spans="1:8" s="8" customFormat="1" ht="22.5" x14ac:dyDescent="0.25">
      <c r="A37" s="22" t="s">
        <v>103</v>
      </c>
      <c r="B37" s="25" t="s">
        <v>951</v>
      </c>
      <c r="C37" s="4">
        <v>70</v>
      </c>
      <c r="D37" s="176"/>
      <c r="E37" s="13">
        <f>Odonto_Instrum_Dental_Speed_Graph[[#This Row],[VALOR UNID ]]*Odonto_Instrum_Dados[[#This Row],[QUANT ]]</f>
        <v>0</v>
      </c>
      <c r="G37" s="8">
        <f>Odonto_Instrum_Dental_Speed_Graph[[#This Row],[VALOR UNID ]]</f>
        <v>0</v>
      </c>
      <c r="H37" s="8" t="e">
        <f>#REF!</f>
        <v>#REF!</v>
      </c>
    </row>
    <row r="38" spans="1:8" s="8" customFormat="1" ht="22.5" x14ac:dyDescent="0.25">
      <c r="A38" s="253" t="s">
        <v>105</v>
      </c>
      <c r="B38" s="256" t="s">
        <v>952</v>
      </c>
      <c r="C38" s="255">
        <v>28</v>
      </c>
      <c r="D38" s="237"/>
      <c r="E38" s="236">
        <f>Odonto_Instrum_Dental_Speed_Graph[[#This Row],[VALOR UNID ]]*Odonto_Instrum_Dados[[#This Row],[QUANT ]]</f>
        <v>0</v>
      </c>
      <c r="G38" s="8">
        <f>Odonto_Instrum_Dental_Speed_Graph[[#This Row],[VALOR UNID ]]</f>
        <v>0</v>
      </c>
      <c r="H38" s="8" t="e">
        <f>#REF!</f>
        <v>#REF!</v>
      </c>
    </row>
    <row r="39" spans="1:8" s="8" customFormat="1" x14ac:dyDescent="0.25">
      <c r="A39" s="22" t="s">
        <v>106</v>
      </c>
      <c r="B39" s="25" t="s">
        <v>953</v>
      </c>
      <c r="C39" s="4">
        <v>14</v>
      </c>
      <c r="D39" s="176"/>
      <c r="E39" s="13">
        <f>Odonto_Instrum_Dental_Speed_Graph[[#This Row],[VALOR UNID ]]*Odonto_Instrum_Dados[[#This Row],[QUANT ]]</f>
        <v>0</v>
      </c>
      <c r="G39" s="8">
        <f>Odonto_Instrum_Dental_Speed_Graph[[#This Row],[VALOR UNID ]]</f>
        <v>0</v>
      </c>
      <c r="H39" s="8" t="e">
        <f>#REF!</f>
        <v>#REF!</v>
      </c>
    </row>
    <row r="40" spans="1:8" s="8" customFormat="1" x14ac:dyDescent="0.25">
      <c r="A40" s="253" t="s">
        <v>108</v>
      </c>
      <c r="B40" s="256" t="s">
        <v>954</v>
      </c>
      <c r="C40" s="255">
        <v>14</v>
      </c>
      <c r="D40" s="237"/>
      <c r="E40" s="236">
        <f>Odonto_Instrum_Dental_Speed_Graph[[#This Row],[VALOR UNID ]]*Odonto_Instrum_Dados[[#This Row],[QUANT ]]</f>
        <v>0</v>
      </c>
      <c r="G40" s="8">
        <f>Odonto_Instrum_Dental_Speed_Graph[[#This Row],[VALOR UNID ]]</f>
        <v>0</v>
      </c>
      <c r="H40" s="8" t="e">
        <f>#REF!</f>
        <v>#REF!</v>
      </c>
    </row>
    <row r="41" spans="1:8" s="8" customFormat="1" ht="22.5" x14ac:dyDescent="0.25">
      <c r="A41" s="22" t="s">
        <v>110</v>
      </c>
      <c r="B41" s="25" t="s">
        <v>955</v>
      </c>
      <c r="C41" s="4">
        <v>14</v>
      </c>
      <c r="D41" s="176"/>
      <c r="E41" s="13">
        <f>Odonto_Instrum_Dental_Speed_Graph[[#This Row],[VALOR UNID ]]*Odonto_Instrum_Dados[[#This Row],[QUANT ]]</f>
        <v>0</v>
      </c>
      <c r="G41" s="8">
        <f>Odonto_Instrum_Dental_Speed_Graph[[#This Row],[VALOR UNID ]]</f>
        <v>0</v>
      </c>
      <c r="H41" s="8" t="e">
        <f>#REF!</f>
        <v>#REF!</v>
      </c>
    </row>
    <row r="42" spans="1:8" s="8" customFormat="1" x14ac:dyDescent="0.25">
      <c r="A42" s="253" t="s">
        <v>113</v>
      </c>
      <c r="B42" s="256" t="s">
        <v>956</v>
      </c>
      <c r="C42" s="255">
        <v>14</v>
      </c>
      <c r="D42" s="237"/>
      <c r="E42" s="236">
        <f>Odonto_Instrum_Dental_Speed_Graph[[#This Row],[VALOR UNID ]]*Odonto_Instrum_Dados[[#This Row],[QUANT ]]</f>
        <v>0</v>
      </c>
      <c r="G42" s="8">
        <f>Odonto_Instrum_Dental_Speed_Graph[[#This Row],[VALOR UNID ]]</f>
        <v>0</v>
      </c>
      <c r="H42" s="8" t="e">
        <f>#REF!</f>
        <v>#REF!</v>
      </c>
    </row>
    <row r="43" spans="1:8" s="8" customFormat="1" x14ac:dyDescent="0.25">
      <c r="A43" s="22" t="s">
        <v>114</v>
      </c>
      <c r="B43" s="25" t="s">
        <v>957</v>
      </c>
      <c r="C43" s="4">
        <v>14</v>
      </c>
      <c r="D43" s="176"/>
      <c r="E43" s="13">
        <f>Odonto_Instrum_Dental_Speed_Graph[[#This Row],[VALOR UNID ]]*Odonto_Instrum_Dados[[#This Row],[QUANT ]]</f>
        <v>0</v>
      </c>
      <c r="G43" s="8">
        <f>Odonto_Instrum_Dental_Speed_Graph[[#This Row],[VALOR UNID ]]</f>
        <v>0</v>
      </c>
      <c r="H43" s="8" t="e">
        <f>#REF!</f>
        <v>#REF!</v>
      </c>
    </row>
    <row r="44" spans="1:8" s="8" customFormat="1" x14ac:dyDescent="0.25">
      <c r="A44" s="253" t="s">
        <v>117</v>
      </c>
      <c r="B44" s="256" t="s">
        <v>958</v>
      </c>
      <c r="C44" s="255">
        <v>14</v>
      </c>
      <c r="D44" s="237"/>
      <c r="E44" s="236">
        <f>Odonto_Instrum_Dental_Speed_Graph[[#This Row],[VALOR UNID ]]*Odonto_Instrum_Dados[[#This Row],[QUANT ]]</f>
        <v>0</v>
      </c>
      <c r="G44" s="8">
        <f>Odonto_Instrum_Dental_Speed_Graph[[#This Row],[VALOR UNID ]]</f>
        <v>0</v>
      </c>
      <c r="H44" s="8" t="e">
        <f>#REF!</f>
        <v>#REF!</v>
      </c>
    </row>
    <row r="45" spans="1:8" s="8" customFormat="1" x14ac:dyDescent="0.25">
      <c r="A45" s="22" t="s">
        <v>119</v>
      </c>
      <c r="B45" s="25" t="s">
        <v>959</v>
      </c>
      <c r="C45" s="4">
        <v>14</v>
      </c>
      <c r="D45" s="176"/>
      <c r="E45" s="13">
        <f>Odonto_Instrum_Dental_Speed_Graph[[#This Row],[VALOR UNID ]]*Odonto_Instrum_Dados[[#This Row],[QUANT ]]</f>
        <v>0</v>
      </c>
      <c r="G45" s="8">
        <f>Odonto_Instrum_Dental_Speed_Graph[[#This Row],[VALOR UNID ]]</f>
        <v>0</v>
      </c>
      <c r="H45" s="8" t="e">
        <f>#REF!</f>
        <v>#REF!</v>
      </c>
    </row>
    <row r="46" spans="1:8" s="8" customFormat="1" x14ac:dyDescent="0.25">
      <c r="A46" s="253" t="s">
        <v>121</v>
      </c>
      <c r="B46" s="256" t="s">
        <v>960</v>
      </c>
      <c r="C46" s="255">
        <v>14</v>
      </c>
      <c r="D46" s="237"/>
      <c r="E46" s="236">
        <f>Odonto_Instrum_Dental_Speed_Graph[[#This Row],[VALOR UNID ]]*Odonto_Instrum_Dados[[#This Row],[QUANT ]]</f>
        <v>0</v>
      </c>
      <c r="G46" s="8">
        <f>Odonto_Instrum_Dental_Speed_Graph[[#This Row],[VALOR UNID ]]</f>
        <v>0</v>
      </c>
      <c r="H46" s="8" t="e">
        <f>#REF!</f>
        <v>#REF!</v>
      </c>
    </row>
    <row r="47" spans="1:8" s="8" customFormat="1" ht="22.5" x14ac:dyDescent="0.25">
      <c r="A47" s="22" t="s">
        <v>123</v>
      </c>
      <c r="B47" s="25" t="s">
        <v>961</v>
      </c>
      <c r="C47" s="4">
        <v>2</v>
      </c>
      <c r="D47" s="176"/>
      <c r="E47" s="13">
        <f>Odonto_Instrum_Dental_Speed_Graph[[#This Row],[VALOR UNID ]]*Odonto_Instrum_Dados[[#This Row],[QUANT ]]</f>
        <v>0</v>
      </c>
      <c r="G47" s="8">
        <f>Odonto_Instrum_Dental_Speed_Graph[[#This Row],[VALOR UNID ]]</f>
        <v>0</v>
      </c>
      <c r="H47" s="8" t="e">
        <f>#REF!</f>
        <v>#REF!</v>
      </c>
    </row>
    <row r="48" spans="1:8" s="8" customFormat="1" ht="22.5" x14ac:dyDescent="0.25">
      <c r="A48" s="253" t="s">
        <v>126</v>
      </c>
      <c r="B48" s="256" t="s">
        <v>962</v>
      </c>
      <c r="C48" s="255">
        <v>2</v>
      </c>
      <c r="D48" s="237"/>
      <c r="E48" s="236">
        <f>Odonto_Instrum_Dental_Speed_Graph[[#This Row],[VALOR UNID ]]*Odonto_Instrum_Dados[[#This Row],[QUANT ]]</f>
        <v>0</v>
      </c>
      <c r="G48" s="8">
        <f>Odonto_Instrum_Dental_Speed_Graph[[#This Row],[VALOR UNID ]]</f>
        <v>0</v>
      </c>
      <c r="H48" s="8" t="e">
        <f>#REF!</f>
        <v>#REF!</v>
      </c>
    </row>
    <row r="49" spans="1:8" s="8" customFormat="1" ht="22.5" x14ac:dyDescent="0.25">
      <c r="A49" s="22" t="s">
        <v>128</v>
      </c>
      <c r="B49" s="25" t="s">
        <v>963</v>
      </c>
      <c r="C49" s="4">
        <v>2</v>
      </c>
      <c r="D49" s="176"/>
      <c r="E49" s="13">
        <f>Odonto_Instrum_Dental_Speed_Graph[[#This Row],[VALOR UNID ]]*Odonto_Instrum_Dados[[#This Row],[QUANT ]]</f>
        <v>0</v>
      </c>
      <c r="G49" s="8">
        <f>Odonto_Instrum_Dental_Speed_Graph[[#This Row],[VALOR UNID ]]</f>
        <v>0</v>
      </c>
      <c r="H49" s="8" t="e">
        <f>#REF!</f>
        <v>#REF!</v>
      </c>
    </row>
    <row r="50" spans="1:8" s="8" customFormat="1" x14ac:dyDescent="0.25">
      <c r="A50" s="253" t="s">
        <v>131</v>
      </c>
      <c r="B50" s="256" t="s">
        <v>964</v>
      </c>
      <c r="C50" s="255">
        <v>42</v>
      </c>
      <c r="D50" s="237"/>
      <c r="E50" s="236">
        <f>Odonto_Instrum_Dental_Speed_Graph[[#This Row],[VALOR UNID ]]*Odonto_Instrum_Dados[[#This Row],[QUANT ]]</f>
        <v>0</v>
      </c>
      <c r="G50" s="8">
        <f>Odonto_Instrum_Dental_Speed_Graph[[#This Row],[VALOR UNID ]]</f>
        <v>0</v>
      </c>
      <c r="H50" s="8" t="e">
        <f>#REF!</f>
        <v>#REF!</v>
      </c>
    </row>
    <row r="51" spans="1:8" s="8" customFormat="1" ht="22.5" x14ac:dyDescent="0.25">
      <c r="A51" s="22" t="s">
        <v>133</v>
      </c>
      <c r="B51" s="25" t="s">
        <v>965</v>
      </c>
      <c r="C51" s="4">
        <v>42</v>
      </c>
      <c r="D51" s="176"/>
      <c r="E51" s="13">
        <f>Odonto_Instrum_Dental_Speed_Graph[[#This Row],[VALOR UNID ]]*Odonto_Instrum_Dados[[#This Row],[QUANT ]]</f>
        <v>0</v>
      </c>
      <c r="G51" s="8">
        <f>Odonto_Instrum_Dental_Speed_Graph[[#This Row],[VALOR UNID ]]</f>
        <v>0</v>
      </c>
      <c r="H51" s="8" t="e">
        <f>#REF!</f>
        <v>#REF!</v>
      </c>
    </row>
    <row r="52" spans="1:8" s="8" customFormat="1" x14ac:dyDescent="0.25">
      <c r="A52" s="253" t="s">
        <v>135</v>
      </c>
      <c r="B52" s="256" t="s">
        <v>966</v>
      </c>
      <c r="C52" s="255">
        <v>14</v>
      </c>
      <c r="D52" s="237"/>
      <c r="E52" s="236">
        <f>Odonto_Instrum_Dental_Speed_Graph[[#This Row],[VALOR UNID ]]*Odonto_Instrum_Dados[[#This Row],[QUANT ]]</f>
        <v>0</v>
      </c>
      <c r="G52" s="8">
        <f>Odonto_Instrum_Dental_Speed_Graph[[#This Row],[VALOR UNID ]]</f>
        <v>0</v>
      </c>
      <c r="H52" s="8" t="e">
        <f>#REF!</f>
        <v>#REF!</v>
      </c>
    </row>
    <row r="53" spans="1:8" s="8" customFormat="1" x14ac:dyDescent="0.25">
      <c r="A53" s="22" t="s">
        <v>138</v>
      </c>
      <c r="B53" s="25" t="s">
        <v>967</v>
      </c>
      <c r="C53" s="4">
        <v>70</v>
      </c>
      <c r="D53" s="176"/>
      <c r="E53" s="13">
        <f>Odonto_Instrum_Dental_Speed_Graph[[#This Row],[VALOR UNID ]]*Odonto_Instrum_Dados[[#This Row],[QUANT ]]</f>
        <v>0</v>
      </c>
      <c r="G53" s="8">
        <f>Odonto_Instrum_Dental_Speed_Graph[[#This Row],[VALOR UNID ]]</f>
        <v>0</v>
      </c>
      <c r="H53" s="8" t="e">
        <f>#REF!</f>
        <v>#REF!</v>
      </c>
    </row>
    <row r="54" spans="1:8" s="8" customFormat="1" ht="56.25" x14ac:dyDescent="0.25">
      <c r="A54" s="253" t="s">
        <v>141</v>
      </c>
      <c r="B54" s="256" t="s">
        <v>968</v>
      </c>
      <c r="C54" s="255">
        <v>84</v>
      </c>
      <c r="D54" s="237"/>
      <c r="E54" s="236">
        <f>Odonto_Instrum_Dental_Speed_Graph[[#This Row],[VALOR UNID ]]*Odonto_Instrum_Dados[[#This Row],[QUANT ]]</f>
        <v>0</v>
      </c>
      <c r="G54" s="8">
        <f>Odonto_Instrum_Dental_Speed_Graph[[#This Row],[VALOR UNID ]]</f>
        <v>0</v>
      </c>
      <c r="H54" s="8" t="e">
        <f>#REF!</f>
        <v>#REF!</v>
      </c>
    </row>
    <row r="55" spans="1:8" s="8" customFormat="1" x14ac:dyDescent="0.25">
      <c r="A55" s="22" t="s">
        <v>143</v>
      </c>
      <c r="B55" s="25" t="s">
        <v>969</v>
      </c>
      <c r="C55" s="4">
        <v>70</v>
      </c>
      <c r="D55" s="176"/>
      <c r="E55" s="13">
        <f>Odonto_Instrum_Dental_Speed_Graph[[#This Row],[VALOR UNID ]]*Odonto_Instrum_Dados[[#This Row],[QUANT ]]</f>
        <v>0</v>
      </c>
      <c r="G55" s="8">
        <f>Odonto_Instrum_Dental_Speed_Graph[[#This Row],[VALOR UNID ]]</f>
        <v>0</v>
      </c>
      <c r="H55" s="8" t="e">
        <f>#REF!</f>
        <v>#REF!</v>
      </c>
    </row>
    <row r="56" spans="1:8" s="8" customFormat="1" x14ac:dyDescent="0.25">
      <c r="A56" s="253" t="s">
        <v>145</v>
      </c>
      <c r="B56" s="256" t="s">
        <v>970</v>
      </c>
      <c r="C56" s="255">
        <v>70</v>
      </c>
      <c r="D56" s="237"/>
      <c r="E56" s="236">
        <f>Odonto_Instrum_Dental_Speed_Graph[[#This Row],[VALOR UNID ]]*Odonto_Instrum_Dados[[#This Row],[QUANT ]]</f>
        <v>0</v>
      </c>
      <c r="G56" s="8">
        <f>Odonto_Instrum_Dental_Speed_Graph[[#This Row],[VALOR UNID ]]</f>
        <v>0</v>
      </c>
      <c r="H56" s="8" t="e">
        <f>#REF!</f>
        <v>#REF!</v>
      </c>
    </row>
    <row r="57" spans="1:8" s="8" customFormat="1" x14ac:dyDescent="0.25">
      <c r="A57" s="22" t="s">
        <v>147</v>
      </c>
      <c r="B57" s="25" t="s">
        <v>971</v>
      </c>
      <c r="C57" s="4">
        <v>28</v>
      </c>
      <c r="D57" s="176"/>
      <c r="E57" s="13">
        <f>Odonto_Instrum_Dental_Speed_Graph[[#This Row],[VALOR UNID ]]*Odonto_Instrum_Dados[[#This Row],[QUANT ]]</f>
        <v>0</v>
      </c>
      <c r="G57" s="8">
        <f>Odonto_Instrum_Dental_Speed_Graph[[#This Row],[VALOR UNID ]]</f>
        <v>0</v>
      </c>
      <c r="H57" s="8" t="e">
        <f>#REF!</f>
        <v>#REF!</v>
      </c>
    </row>
    <row r="58" spans="1:8" s="8" customFormat="1" x14ac:dyDescent="0.25">
      <c r="A58" s="253" t="s">
        <v>149</v>
      </c>
      <c r="B58" s="256" t="s">
        <v>972</v>
      </c>
      <c r="C58" s="255">
        <v>14</v>
      </c>
      <c r="D58" s="237"/>
      <c r="E58" s="236">
        <f>Odonto_Instrum_Dental_Speed_Graph[[#This Row],[VALOR UNID ]]*Odonto_Instrum_Dados[[#This Row],[QUANT ]]</f>
        <v>0</v>
      </c>
      <c r="G58" s="8">
        <f>Odonto_Instrum_Dental_Speed_Graph[[#This Row],[VALOR UNID ]]</f>
        <v>0</v>
      </c>
      <c r="H58" s="8" t="e">
        <f>#REF!</f>
        <v>#REF!</v>
      </c>
    </row>
    <row r="59" spans="1:8" s="8" customFormat="1" x14ac:dyDescent="0.25">
      <c r="A59" s="22" t="s">
        <v>152</v>
      </c>
      <c r="B59" s="25" t="s">
        <v>973</v>
      </c>
      <c r="C59" s="4">
        <v>28</v>
      </c>
      <c r="D59" s="176"/>
      <c r="E59" s="13">
        <f>Odonto_Instrum_Dental_Speed_Graph[[#This Row],[VALOR UNID ]]*Odonto_Instrum_Dados[[#This Row],[QUANT ]]</f>
        <v>0</v>
      </c>
      <c r="G59" s="8">
        <f>Odonto_Instrum_Dental_Speed_Graph[[#This Row],[VALOR UNID ]]</f>
        <v>0</v>
      </c>
      <c r="H59" s="8" t="e">
        <f>#REF!</f>
        <v>#REF!</v>
      </c>
    </row>
    <row r="60" spans="1:8" s="8" customFormat="1" x14ac:dyDescent="0.25">
      <c r="A60" s="253" t="s">
        <v>155</v>
      </c>
      <c r="B60" s="256" t="s">
        <v>974</v>
      </c>
      <c r="C60" s="255">
        <v>14</v>
      </c>
      <c r="D60" s="237"/>
      <c r="E60" s="236">
        <f>Odonto_Instrum_Dental_Speed_Graph[[#This Row],[VALOR UNID ]]*Odonto_Instrum_Dados[[#This Row],[QUANT ]]</f>
        <v>0</v>
      </c>
      <c r="G60" s="8">
        <f>Odonto_Instrum_Dental_Speed_Graph[[#This Row],[VALOR UNID ]]</f>
        <v>0</v>
      </c>
      <c r="H60" s="8" t="e">
        <f>#REF!</f>
        <v>#REF!</v>
      </c>
    </row>
    <row r="61" spans="1:8" s="8" customFormat="1" ht="22.5" x14ac:dyDescent="0.25">
      <c r="A61" s="22" t="s">
        <v>158</v>
      </c>
      <c r="B61" s="25" t="s">
        <v>975</v>
      </c>
      <c r="C61" s="4">
        <v>42</v>
      </c>
      <c r="D61" s="176"/>
      <c r="E61" s="13">
        <f>Odonto_Instrum_Dental_Speed_Graph[[#This Row],[VALOR UNID ]]*Odonto_Instrum_Dados[[#This Row],[QUANT ]]</f>
        <v>0</v>
      </c>
      <c r="G61" s="8">
        <f>Odonto_Instrum_Dental_Speed_Graph[[#This Row],[VALOR UNID ]]</f>
        <v>0</v>
      </c>
      <c r="H61" s="8" t="e">
        <f>#REF!</f>
        <v>#REF!</v>
      </c>
    </row>
    <row r="62" spans="1:8" s="8" customFormat="1" ht="56.25" x14ac:dyDescent="0.25">
      <c r="A62" s="253" t="s">
        <v>160</v>
      </c>
      <c r="B62" s="256" t="s">
        <v>976</v>
      </c>
      <c r="C62" s="255">
        <v>70</v>
      </c>
      <c r="D62" s="237"/>
      <c r="E62" s="236">
        <f>Odonto_Instrum_Dental_Speed_Graph[[#This Row],[VALOR UNID ]]*Odonto_Instrum_Dados[[#This Row],[QUANT ]]</f>
        <v>0</v>
      </c>
      <c r="G62" s="8">
        <f>Odonto_Instrum_Dental_Speed_Graph[[#This Row],[VALOR UNID ]]</f>
        <v>0</v>
      </c>
      <c r="H62" s="8" t="e">
        <f>#REF!</f>
        <v>#REF!</v>
      </c>
    </row>
    <row r="63" spans="1:8" s="8" customFormat="1" ht="45" x14ac:dyDescent="0.25">
      <c r="A63" s="22" t="s">
        <v>164</v>
      </c>
      <c r="B63" s="25" t="s">
        <v>977</v>
      </c>
      <c r="C63" s="4">
        <v>70</v>
      </c>
      <c r="D63" s="176"/>
      <c r="E63" s="13">
        <f>Odonto_Instrum_Dental_Speed_Graph[[#This Row],[VALOR UNID ]]*Odonto_Instrum_Dados[[#This Row],[QUANT ]]</f>
        <v>0</v>
      </c>
      <c r="G63" s="8">
        <f>Odonto_Instrum_Dental_Speed_Graph[[#This Row],[VALOR UNID ]]</f>
        <v>0</v>
      </c>
      <c r="H63" s="8" t="e">
        <f>#REF!</f>
        <v>#REF!</v>
      </c>
    </row>
    <row r="64" spans="1:8" s="8" customFormat="1" ht="56.25" x14ac:dyDescent="0.25">
      <c r="A64" s="253" t="s">
        <v>166</v>
      </c>
      <c r="B64" s="256" t="s">
        <v>978</v>
      </c>
      <c r="C64" s="255">
        <v>84</v>
      </c>
      <c r="D64" s="237"/>
      <c r="E64" s="236">
        <f>Odonto_Instrum_Dental_Speed_Graph[[#This Row],[VALOR UNID ]]*Odonto_Instrum_Dados[[#This Row],[QUANT ]]</f>
        <v>0</v>
      </c>
      <c r="G64" s="8">
        <f>Odonto_Instrum_Dental_Speed_Graph[[#This Row],[VALOR UNID ]]</f>
        <v>0</v>
      </c>
      <c r="H64" s="8" t="e">
        <f>#REF!</f>
        <v>#REF!</v>
      </c>
    </row>
    <row r="65" spans="1:8" s="8" customFormat="1" x14ac:dyDescent="0.25">
      <c r="A65" s="22" t="s">
        <v>168</v>
      </c>
      <c r="B65" s="25" t="s">
        <v>979</v>
      </c>
      <c r="C65" s="4">
        <v>42</v>
      </c>
      <c r="D65" s="176"/>
      <c r="E65" s="13">
        <f>Odonto_Instrum_Dental_Speed_Graph[[#This Row],[VALOR UNID ]]*Odonto_Instrum_Dados[[#This Row],[QUANT ]]</f>
        <v>0</v>
      </c>
      <c r="G65" s="8">
        <f>Odonto_Instrum_Dental_Speed_Graph[[#This Row],[VALOR UNID ]]</f>
        <v>0</v>
      </c>
      <c r="H65" s="8" t="e">
        <f>#REF!</f>
        <v>#REF!</v>
      </c>
    </row>
    <row r="66" spans="1:8" s="8" customFormat="1" x14ac:dyDescent="0.25">
      <c r="A66" s="253" t="s">
        <v>170</v>
      </c>
      <c r="B66" s="256" t="s">
        <v>980</v>
      </c>
      <c r="C66" s="255">
        <v>70</v>
      </c>
      <c r="D66" s="237"/>
      <c r="E66" s="236">
        <f>Odonto_Instrum_Dental_Speed_Graph[[#This Row],[VALOR UNID ]]*Odonto_Instrum_Dados[[#This Row],[QUANT ]]</f>
        <v>0</v>
      </c>
      <c r="G66" s="8">
        <f>Odonto_Instrum_Dental_Speed_Graph[[#This Row],[VALOR UNID ]]</f>
        <v>0</v>
      </c>
      <c r="H66" s="8" t="e">
        <f>#REF!</f>
        <v>#REF!</v>
      </c>
    </row>
    <row r="67" spans="1:8" s="8" customFormat="1" ht="22.5" x14ac:dyDescent="0.25">
      <c r="A67" s="22" t="s">
        <v>174</v>
      </c>
      <c r="B67" s="25" t="s">
        <v>1330</v>
      </c>
      <c r="C67" s="4">
        <v>70</v>
      </c>
      <c r="D67" s="176"/>
      <c r="E67" s="13">
        <f>Odonto_Instrum_Dental_Speed_Graph[[#This Row],[VALOR UNID ]]*Odonto_Instrum_Dados[[#This Row],[QUANT ]]</f>
        <v>0</v>
      </c>
      <c r="G67" s="8">
        <f>Odonto_Instrum_Dental_Speed_Graph[[#This Row],[VALOR UNID ]]</f>
        <v>0</v>
      </c>
      <c r="H67" s="8" t="e">
        <f>#REF!</f>
        <v>#REF!</v>
      </c>
    </row>
    <row r="68" spans="1:8" s="8" customFormat="1" x14ac:dyDescent="0.25">
      <c r="A68" s="140"/>
      <c r="B68" s="45"/>
      <c r="C68" s="161">
        <f t="shared" ref="C68" si="0">SUBTOTAL(109,C4:C67)</f>
        <v>2815</v>
      </c>
      <c r="D68" s="14"/>
      <c r="E68" s="14">
        <f>SUBTOTAL(109,E4:E67)</f>
        <v>0</v>
      </c>
    </row>
    <row r="69" spans="1:8" s="8" customFormat="1" x14ac:dyDescent="0.25">
      <c r="A69" s="3"/>
      <c r="B69" s="10"/>
      <c r="C69" s="3"/>
      <c r="D69" s="133"/>
      <c r="E69" s="133"/>
    </row>
    <row r="70" spans="1:8" s="8" customFormat="1" x14ac:dyDescent="0.25">
      <c r="A70" s="3"/>
      <c r="B70" s="10"/>
      <c r="C70" s="3"/>
      <c r="D70" s="133"/>
      <c r="E70" s="133"/>
    </row>
    <row r="71" spans="1:8" s="8" customFormat="1" x14ac:dyDescent="0.25">
      <c r="A71" s="3"/>
      <c r="B71" s="10"/>
      <c r="C71" s="3"/>
      <c r="D71" s="133"/>
      <c r="E71" s="133"/>
    </row>
    <row r="72" spans="1:8" s="8" customFormat="1" x14ac:dyDescent="0.25">
      <c r="A72" s="3"/>
      <c r="B72" s="10"/>
      <c r="C72" s="3"/>
      <c r="D72" s="133"/>
      <c r="E72" s="133"/>
    </row>
    <row r="73" spans="1:8" s="8" customFormat="1" x14ac:dyDescent="0.25">
      <c r="A73" s="3"/>
      <c r="B73" s="10"/>
      <c r="C73" s="3"/>
      <c r="D73" s="133"/>
      <c r="E73" s="133"/>
    </row>
    <row r="74" spans="1:8" s="8" customFormat="1" x14ac:dyDescent="0.25">
      <c r="A74" s="3"/>
      <c r="B74" s="10"/>
      <c r="C74" s="3"/>
      <c r="D74" s="133"/>
      <c r="E74" s="133"/>
    </row>
    <row r="75" spans="1:8" s="8" customFormat="1" x14ac:dyDescent="0.25">
      <c r="A75" s="3"/>
      <c r="B75" s="10"/>
      <c r="C75" s="3"/>
      <c r="D75" s="133"/>
      <c r="E75" s="133"/>
    </row>
    <row r="76" spans="1:8" s="8" customFormat="1" x14ac:dyDescent="0.25">
      <c r="A76" s="3"/>
      <c r="B76" s="10"/>
      <c r="C76" s="3"/>
      <c r="D76" s="133"/>
      <c r="E76" s="133"/>
    </row>
    <row r="77" spans="1:8" s="8" customFormat="1" x14ac:dyDescent="0.25">
      <c r="A77" s="3"/>
      <c r="B77" s="10"/>
      <c r="C77" s="3"/>
      <c r="D77" s="133"/>
      <c r="E77" s="133"/>
    </row>
    <row r="78" spans="1:8" s="8" customFormat="1" x14ac:dyDescent="0.25">
      <c r="A78" s="3"/>
      <c r="B78" s="10"/>
      <c r="C78" s="3"/>
      <c r="D78" s="133"/>
      <c r="E78" s="133"/>
    </row>
    <row r="79" spans="1:8" s="8" customFormat="1" x14ac:dyDescent="0.25">
      <c r="A79" s="3"/>
      <c r="B79" s="10"/>
      <c r="C79" s="3"/>
      <c r="D79" s="133"/>
      <c r="E79" s="133"/>
    </row>
    <row r="80" spans="1:8" s="8" customFormat="1" x14ac:dyDescent="0.25">
      <c r="A80" s="3"/>
      <c r="B80" s="10"/>
      <c r="C80" s="3"/>
      <c r="D80" s="133"/>
      <c r="E80" s="133"/>
    </row>
    <row r="81" spans="1:5" s="8" customFormat="1" x14ac:dyDescent="0.25">
      <c r="A81" s="3"/>
      <c r="B81" s="10"/>
      <c r="C81" s="3"/>
      <c r="D81" s="133"/>
      <c r="E81" s="133"/>
    </row>
    <row r="82" spans="1:5" s="8" customFormat="1" x14ac:dyDescent="0.25">
      <c r="A82" s="3"/>
      <c r="B82" s="10"/>
      <c r="C82" s="3"/>
      <c r="D82" s="133"/>
      <c r="E82" s="133"/>
    </row>
    <row r="83" spans="1:5" s="8" customFormat="1" x14ac:dyDescent="0.25">
      <c r="A83" s="3"/>
      <c r="B83" s="10"/>
      <c r="C83" s="3"/>
      <c r="D83" s="133"/>
      <c r="E83" s="133"/>
    </row>
    <row r="84" spans="1:5" s="8" customFormat="1" x14ac:dyDescent="0.25">
      <c r="A84" s="3"/>
      <c r="B84" s="10"/>
      <c r="C84" s="3"/>
      <c r="D84" s="133"/>
      <c r="E84" s="133"/>
    </row>
    <row r="85" spans="1:5" s="8" customFormat="1" x14ac:dyDescent="0.25">
      <c r="A85" s="3"/>
      <c r="B85" s="10"/>
      <c r="C85" s="3"/>
      <c r="D85" s="133"/>
      <c r="E85" s="133"/>
    </row>
    <row r="86" spans="1:5" s="8" customFormat="1" x14ac:dyDescent="0.25">
      <c r="A86" s="3"/>
      <c r="B86" s="10"/>
      <c r="C86" s="3"/>
      <c r="D86" s="133"/>
      <c r="E86" s="133"/>
    </row>
    <row r="87" spans="1:5" s="8" customFormat="1" x14ac:dyDescent="0.25">
      <c r="A87" s="3"/>
      <c r="B87" s="10"/>
      <c r="C87" s="3"/>
      <c r="D87" s="133"/>
      <c r="E87" s="133"/>
    </row>
    <row r="88" spans="1:5" s="8" customFormat="1" x14ac:dyDescent="0.25">
      <c r="A88" s="3"/>
      <c r="B88" s="10"/>
      <c r="C88" s="3"/>
      <c r="D88" s="133"/>
      <c r="E88" s="133"/>
    </row>
    <row r="89" spans="1:5" s="8" customFormat="1" x14ac:dyDescent="0.25">
      <c r="A89" s="3"/>
      <c r="B89" s="10"/>
      <c r="C89" s="3"/>
      <c r="D89" s="133"/>
      <c r="E89" s="133"/>
    </row>
    <row r="90" spans="1:5" s="8" customFormat="1" x14ac:dyDescent="0.25">
      <c r="A90" s="3"/>
      <c r="B90" s="10"/>
      <c r="C90" s="3"/>
      <c r="D90" s="133"/>
      <c r="E90" s="133"/>
    </row>
    <row r="91" spans="1:5" s="8" customFormat="1" x14ac:dyDescent="0.25">
      <c r="A91" s="3"/>
      <c r="B91" s="10"/>
      <c r="C91" s="3"/>
      <c r="D91" s="133"/>
      <c r="E91" s="133"/>
    </row>
    <row r="92" spans="1:5" s="8" customFormat="1" x14ac:dyDescent="0.25">
      <c r="A92" s="3"/>
      <c r="B92" s="10"/>
      <c r="C92" s="3"/>
      <c r="D92" s="133"/>
      <c r="E92" s="133"/>
    </row>
    <row r="93" spans="1:5" s="8" customFormat="1" x14ac:dyDescent="0.25">
      <c r="A93" s="3"/>
      <c r="B93" s="10"/>
      <c r="C93" s="3"/>
      <c r="D93" s="133"/>
      <c r="E93" s="133"/>
    </row>
    <row r="94" spans="1:5" s="8" customFormat="1" x14ac:dyDescent="0.25">
      <c r="A94" s="3"/>
      <c r="B94" s="10"/>
      <c r="C94" s="3"/>
      <c r="D94" s="133"/>
      <c r="E94" s="133"/>
    </row>
    <row r="95" spans="1:5" s="8" customFormat="1" x14ac:dyDescent="0.25">
      <c r="A95" s="3"/>
      <c r="B95" s="10"/>
      <c r="C95" s="3"/>
      <c r="D95" s="133"/>
      <c r="E95" s="133"/>
    </row>
    <row r="96" spans="1:5" s="8" customFormat="1" x14ac:dyDescent="0.25">
      <c r="A96" s="3"/>
      <c r="B96" s="10"/>
      <c r="C96" s="3"/>
      <c r="D96" s="133"/>
      <c r="E96" s="133"/>
    </row>
    <row r="97" spans="1:5" s="8" customFormat="1" x14ac:dyDescent="0.25">
      <c r="A97" s="3"/>
      <c r="B97" s="10"/>
      <c r="C97" s="3"/>
      <c r="D97" s="133"/>
      <c r="E97" s="133"/>
    </row>
    <row r="98" spans="1:5" s="8" customFormat="1" x14ac:dyDescent="0.25">
      <c r="A98" s="3"/>
      <c r="B98" s="10"/>
      <c r="C98" s="3"/>
      <c r="D98" s="133"/>
      <c r="E98" s="133"/>
    </row>
    <row r="99" spans="1:5" s="8" customFormat="1" x14ac:dyDescent="0.25">
      <c r="A99" s="3"/>
      <c r="B99" s="10"/>
      <c r="C99" s="3"/>
      <c r="D99" s="133"/>
      <c r="E99" s="133"/>
    </row>
    <row r="100" spans="1:5" s="8" customFormat="1" x14ac:dyDescent="0.25">
      <c r="A100" s="3"/>
      <c r="B100" s="10"/>
      <c r="C100" s="3"/>
      <c r="D100" s="133"/>
      <c r="E100" s="133"/>
    </row>
    <row r="101" spans="1:5" s="8" customFormat="1" x14ac:dyDescent="0.25">
      <c r="A101" s="3"/>
      <c r="B101" s="10"/>
      <c r="C101" s="3"/>
      <c r="D101" s="133"/>
      <c r="E101" s="133"/>
    </row>
    <row r="102" spans="1:5" s="8" customFormat="1" x14ac:dyDescent="0.25">
      <c r="A102" s="3"/>
      <c r="B102" s="10"/>
      <c r="C102" s="3"/>
      <c r="D102" s="133"/>
      <c r="E102" s="133"/>
    </row>
    <row r="103" spans="1:5" s="8" customFormat="1" x14ac:dyDescent="0.25">
      <c r="A103" s="3"/>
      <c r="B103" s="10"/>
      <c r="C103" s="3"/>
      <c r="D103" s="133"/>
      <c r="E103" s="133"/>
    </row>
    <row r="104" spans="1:5" s="8" customFormat="1" x14ac:dyDescent="0.25">
      <c r="A104" s="3"/>
      <c r="B104" s="10"/>
      <c r="C104" s="3"/>
      <c r="D104" s="133"/>
      <c r="E104" s="133"/>
    </row>
    <row r="105" spans="1:5" s="8" customFormat="1" x14ac:dyDescent="0.25">
      <c r="A105" s="3"/>
      <c r="B105" s="10"/>
      <c r="C105" s="3"/>
      <c r="D105" s="133"/>
      <c r="E105" s="133"/>
    </row>
    <row r="106" spans="1:5" s="8" customFormat="1" x14ac:dyDescent="0.25">
      <c r="A106" s="3"/>
      <c r="B106" s="10"/>
      <c r="C106" s="3"/>
      <c r="D106" s="133"/>
      <c r="E106" s="133"/>
    </row>
    <row r="107" spans="1:5" s="8" customFormat="1" x14ac:dyDescent="0.25">
      <c r="A107" s="3"/>
      <c r="B107" s="10"/>
      <c r="C107" s="3"/>
      <c r="D107" s="133"/>
      <c r="E107" s="133"/>
    </row>
    <row r="108" spans="1:5" s="8" customFormat="1" x14ac:dyDescent="0.25">
      <c r="A108" s="3"/>
      <c r="B108" s="10"/>
      <c r="C108" s="3"/>
      <c r="D108" s="133"/>
      <c r="E108" s="133"/>
    </row>
    <row r="109" spans="1:5" s="8" customFormat="1" x14ac:dyDescent="0.25">
      <c r="A109" s="3"/>
      <c r="B109" s="10"/>
      <c r="C109" s="3"/>
      <c r="D109" s="133"/>
      <c r="E109" s="133"/>
    </row>
    <row r="110" spans="1:5" s="8" customFormat="1" x14ac:dyDescent="0.25">
      <c r="A110" s="3"/>
      <c r="B110" s="10"/>
      <c r="C110" s="3"/>
      <c r="D110" s="133"/>
      <c r="E110" s="133"/>
    </row>
    <row r="111" spans="1:5" s="8" customFormat="1" x14ac:dyDescent="0.25">
      <c r="A111" s="3"/>
      <c r="B111" s="10"/>
      <c r="C111" s="3"/>
      <c r="D111" s="133"/>
      <c r="E111" s="133"/>
    </row>
    <row r="112" spans="1:5" s="8" customFormat="1" x14ac:dyDescent="0.25">
      <c r="A112" s="3"/>
      <c r="B112" s="10"/>
      <c r="C112" s="3"/>
      <c r="D112" s="133"/>
      <c r="E112" s="133"/>
    </row>
    <row r="113" spans="1:5" s="8" customFormat="1" x14ac:dyDescent="0.25">
      <c r="A113" s="3"/>
      <c r="B113" s="10"/>
      <c r="C113" s="3"/>
      <c r="D113" s="133"/>
      <c r="E113" s="133"/>
    </row>
    <row r="114" spans="1:5" s="8" customFormat="1" x14ac:dyDescent="0.25">
      <c r="A114" s="3"/>
      <c r="B114" s="10"/>
      <c r="C114" s="3"/>
      <c r="D114" s="133"/>
      <c r="E114" s="133"/>
    </row>
    <row r="115" spans="1:5" s="8" customFormat="1" x14ac:dyDescent="0.25">
      <c r="A115" s="3"/>
      <c r="B115" s="10"/>
      <c r="C115" s="3"/>
      <c r="D115" s="133"/>
      <c r="E115" s="133"/>
    </row>
    <row r="116" spans="1:5" s="8" customFormat="1" x14ac:dyDescent="0.25">
      <c r="A116" s="3"/>
      <c r="B116" s="10"/>
      <c r="C116" s="3"/>
      <c r="D116" s="133"/>
      <c r="E116" s="133"/>
    </row>
    <row r="117" spans="1:5" s="8" customFormat="1" x14ac:dyDescent="0.25">
      <c r="A117" s="3"/>
      <c r="B117" s="10"/>
      <c r="C117" s="3"/>
      <c r="D117" s="133"/>
      <c r="E117" s="133"/>
    </row>
    <row r="118" spans="1:5" s="8" customFormat="1" x14ac:dyDescent="0.25">
      <c r="A118" s="3"/>
      <c r="B118" s="10"/>
      <c r="C118" s="3"/>
      <c r="D118" s="133"/>
      <c r="E118" s="133"/>
    </row>
    <row r="119" spans="1:5" s="8" customFormat="1" x14ac:dyDescent="0.25">
      <c r="A119" s="3"/>
      <c r="B119" s="10"/>
      <c r="C119" s="3"/>
      <c r="D119" s="133"/>
      <c r="E119" s="133"/>
    </row>
    <row r="120" spans="1:5" s="8" customFormat="1" x14ac:dyDescent="0.25">
      <c r="A120" s="3"/>
      <c r="B120" s="10"/>
      <c r="C120" s="3"/>
      <c r="D120" s="133"/>
      <c r="E120" s="133"/>
    </row>
    <row r="121" spans="1:5" s="8" customFormat="1" x14ac:dyDescent="0.25">
      <c r="A121" s="3"/>
      <c r="B121" s="10"/>
      <c r="C121" s="3"/>
      <c r="D121" s="133"/>
      <c r="E121" s="133"/>
    </row>
    <row r="122" spans="1:5" s="8" customFormat="1" x14ac:dyDescent="0.25">
      <c r="A122" s="3"/>
      <c r="B122" s="10"/>
      <c r="C122" s="3"/>
      <c r="D122" s="133"/>
      <c r="E122" s="133"/>
    </row>
    <row r="123" spans="1:5" s="8" customFormat="1" x14ac:dyDescent="0.25">
      <c r="A123" s="3"/>
      <c r="B123" s="10"/>
      <c r="C123" s="3"/>
      <c r="D123" s="133"/>
      <c r="E123" s="133"/>
    </row>
    <row r="124" spans="1:5" s="8" customFormat="1" x14ac:dyDescent="0.25">
      <c r="A124" s="3"/>
      <c r="B124" s="10"/>
      <c r="C124" s="3"/>
      <c r="D124" s="133"/>
      <c r="E124" s="133"/>
    </row>
    <row r="125" spans="1:5" s="8" customFormat="1" x14ac:dyDescent="0.25">
      <c r="A125" s="3"/>
      <c r="B125" s="10"/>
      <c r="C125" s="3"/>
      <c r="D125" s="133"/>
      <c r="E125" s="133"/>
    </row>
    <row r="126" spans="1:5" s="8" customFormat="1" x14ac:dyDescent="0.25">
      <c r="A126" s="3"/>
      <c r="B126" s="10"/>
      <c r="C126" s="3"/>
      <c r="D126" s="133"/>
      <c r="E126" s="133"/>
    </row>
    <row r="127" spans="1:5" s="8" customFormat="1" x14ac:dyDescent="0.25">
      <c r="A127" s="3"/>
      <c r="B127" s="10"/>
      <c r="C127" s="3"/>
      <c r="D127" s="133"/>
      <c r="E127" s="133"/>
    </row>
    <row r="128" spans="1:5" s="8" customFormat="1" x14ac:dyDescent="0.25">
      <c r="A128" s="3"/>
      <c r="B128" s="10"/>
      <c r="C128" s="3"/>
      <c r="D128" s="133"/>
      <c r="E128" s="133"/>
    </row>
    <row r="129" spans="1:5" s="8" customFormat="1" x14ac:dyDescent="0.25">
      <c r="A129" s="3"/>
      <c r="B129" s="10"/>
      <c r="C129" s="3"/>
      <c r="D129" s="133"/>
      <c r="E129" s="133"/>
    </row>
    <row r="130" spans="1:5" s="8" customFormat="1" x14ac:dyDescent="0.25">
      <c r="A130" s="3"/>
      <c r="B130" s="10"/>
      <c r="C130" s="3"/>
      <c r="D130" s="133"/>
      <c r="E130" s="133"/>
    </row>
    <row r="131" spans="1:5" s="8" customFormat="1" x14ac:dyDescent="0.25">
      <c r="A131" s="3"/>
      <c r="B131" s="10"/>
      <c r="C131" s="3"/>
      <c r="D131" s="133"/>
      <c r="E131" s="133"/>
    </row>
    <row r="132" spans="1:5" s="8" customFormat="1" x14ac:dyDescent="0.25">
      <c r="A132" s="3"/>
      <c r="B132" s="10"/>
      <c r="C132" s="3"/>
      <c r="D132" s="133"/>
      <c r="E132" s="133"/>
    </row>
    <row r="133" spans="1:5" s="8" customFormat="1" x14ac:dyDescent="0.25">
      <c r="A133" s="3"/>
      <c r="B133" s="10"/>
      <c r="C133" s="3"/>
      <c r="D133" s="133"/>
      <c r="E133" s="133"/>
    </row>
    <row r="134" spans="1:5" s="8" customFormat="1" x14ac:dyDescent="0.25">
      <c r="A134" s="3"/>
      <c r="B134" s="10"/>
      <c r="C134" s="3"/>
      <c r="D134" s="133"/>
      <c r="E134" s="133"/>
    </row>
    <row r="135" spans="1:5" s="8" customFormat="1" x14ac:dyDescent="0.25">
      <c r="A135" s="3"/>
      <c r="B135" s="10"/>
      <c r="C135" s="3"/>
      <c r="D135" s="133"/>
      <c r="E135" s="133"/>
    </row>
    <row r="136" spans="1:5" s="8" customFormat="1" x14ac:dyDescent="0.25">
      <c r="A136" s="3"/>
      <c r="B136" s="10"/>
      <c r="C136" s="3"/>
      <c r="D136" s="133"/>
      <c r="E136" s="133"/>
    </row>
    <row r="137" spans="1:5" s="8" customFormat="1" x14ac:dyDescent="0.25">
      <c r="A137" s="3"/>
      <c r="B137" s="10"/>
      <c r="C137" s="3"/>
      <c r="D137" s="133"/>
      <c r="E137" s="133"/>
    </row>
    <row r="138" spans="1:5" s="8" customFormat="1" x14ac:dyDescent="0.25">
      <c r="A138" s="3"/>
      <c r="B138" s="10"/>
      <c r="C138" s="3"/>
      <c r="D138" s="133"/>
      <c r="E138" s="133"/>
    </row>
    <row r="139" spans="1:5" s="8" customFormat="1" x14ac:dyDescent="0.25">
      <c r="A139" s="3"/>
      <c r="B139" s="10"/>
      <c r="C139" s="3"/>
      <c r="D139" s="133"/>
      <c r="E139" s="133"/>
    </row>
    <row r="140" spans="1:5" s="8" customFormat="1" x14ac:dyDescent="0.25">
      <c r="A140" s="3"/>
      <c r="B140" s="10"/>
      <c r="C140" s="3"/>
      <c r="D140" s="133"/>
      <c r="E140" s="133"/>
    </row>
    <row r="141" spans="1:5" s="8" customFormat="1" x14ac:dyDescent="0.25">
      <c r="A141" s="3"/>
      <c r="B141" s="10"/>
      <c r="C141" s="3"/>
      <c r="D141" s="133"/>
      <c r="E141" s="133"/>
    </row>
    <row r="142" spans="1:5" s="8" customFormat="1" x14ac:dyDescent="0.25">
      <c r="A142" s="3"/>
      <c r="B142" s="10"/>
      <c r="C142" s="3"/>
      <c r="D142" s="133"/>
      <c r="E142" s="133"/>
    </row>
    <row r="143" spans="1:5" s="8" customFormat="1" x14ac:dyDescent="0.25">
      <c r="A143" s="3"/>
      <c r="B143" s="10"/>
      <c r="C143" s="3"/>
      <c r="D143" s="133"/>
      <c r="E143" s="133"/>
    </row>
    <row r="144" spans="1:5" s="8" customFormat="1" x14ac:dyDescent="0.25">
      <c r="A144" s="3"/>
      <c r="B144" s="10"/>
      <c r="C144" s="3"/>
      <c r="D144" s="133"/>
      <c r="E144" s="133"/>
    </row>
    <row r="145" spans="1:5" s="8" customFormat="1" x14ac:dyDescent="0.25">
      <c r="A145" s="3"/>
      <c r="B145" s="10"/>
      <c r="C145" s="3"/>
      <c r="D145" s="133"/>
      <c r="E145" s="133"/>
    </row>
    <row r="146" spans="1:5" s="8" customFormat="1" x14ac:dyDescent="0.25">
      <c r="A146" s="3"/>
      <c r="B146" s="10"/>
      <c r="C146" s="3"/>
      <c r="D146" s="133"/>
      <c r="E146" s="133"/>
    </row>
    <row r="147" spans="1:5" s="8" customFormat="1" x14ac:dyDescent="0.25">
      <c r="A147" s="3"/>
      <c r="B147" s="10"/>
      <c r="C147" s="3"/>
      <c r="D147" s="133"/>
      <c r="E147" s="133"/>
    </row>
    <row r="148" spans="1:5" s="8" customFormat="1" x14ac:dyDescent="0.25">
      <c r="A148" s="3"/>
      <c r="B148" s="10"/>
      <c r="C148" s="3"/>
      <c r="D148" s="133"/>
      <c r="E148" s="133"/>
    </row>
    <row r="149" spans="1:5" s="8" customFormat="1" x14ac:dyDescent="0.25">
      <c r="A149" s="3"/>
      <c r="B149" s="10"/>
      <c r="C149" s="3"/>
      <c r="D149" s="133"/>
      <c r="E149" s="133"/>
    </row>
    <row r="150" spans="1:5" s="8" customFormat="1" x14ac:dyDescent="0.25">
      <c r="A150" s="3"/>
      <c r="B150" s="10"/>
      <c r="C150" s="3"/>
      <c r="D150" s="133"/>
      <c r="E150" s="133"/>
    </row>
    <row r="151" spans="1:5" s="8" customFormat="1" x14ac:dyDescent="0.25">
      <c r="A151" s="3"/>
      <c r="B151" s="10"/>
      <c r="C151" s="3"/>
      <c r="D151" s="133"/>
      <c r="E151" s="133"/>
    </row>
    <row r="152" spans="1:5" s="8" customFormat="1" x14ac:dyDescent="0.25">
      <c r="A152" s="3"/>
      <c r="B152" s="10"/>
      <c r="C152" s="3"/>
      <c r="D152" s="133"/>
      <c r="E152" s="133"/>
    </row>
    <row r="153" spans="1:5" s="8" customFormat="1" x14ac:dyDescent="0.25">
      <c r="A153" s="3"/>
      <c r="B153" s="10"/>
      <c r="C153" s="3"/>
      <c r="D153" s="133"/>
      <c r="E153" s="133"/>
    </row>
    <row r="154" spans="1:5" s="8" customFormat="1" x14ac:dyDescent="0.25">
      <c r="A154" s="3"/>
      <c r="B154" s="10"/>
      <c r="C154" s="3"/>
      <c r="D154" s="133"/>
      <c r="E154" s="133"/>
    </row>
    <row r="155" spans="1:5" s="8" customFormat="1" x14ac:dyDescent="0.25">
      <c r="A155" s="3"/>
      <c r="B155" s="10"/>
      <c r="C155" s="3"/>
      <c r="D155" s="133"/>
      <c r="E155" s="133"/>
    </row>
    <row r="156" spans="1:5" s="8" customFormat="1" x14ac:dyDescent="0.25">
      <c r="A156" s="3"/>
      <c r="B156" s="10"/>
      <c r="C156" s="3"/>
      <c r="D156" s="133"/>
      <c r="E156" s="133"/>
    </row>
    <row r="157" spans="1:5" s="8" customFormat="1" x14ac:dyDescent="0.25">
      <c r="A157" s="3"/>
      <c r="B157" s="10"/>
      <c r="C157" s="3"/>
      <c r="D157" s="133"/>
      <c r="E157" s="133"/>
    </row>
    <row r="158" spans="1:5" s="8" customFormat="1" x14ac:dyDescent="0.25">
      <c r="A158" s="3"/>
      <c r="B158" s="10"/>
      <c r="C158" s="3"/>
      <c r="D158" s="133"/>
      <c r="E158" s="133"/>
    </row>
    <row r="159" spans="1:5" s="8" customFormat="1" x14ac:dyDescent="0.25">
      <c r="A159" s="3"/>
      <c r="B159" s="10"/>
      <c r="C159" s="3"/>
      <c r="D159" s="133"/>
      <c r="E159" s="133"/>
    </row>
    <row r="160" spans="1:5" s="8" customFormat="1" x14ac:dyDescent="0.25">
      <c r="A160" s="3"/>
      <c r="B160" s="10"/>
      <c r="C160" s="3"/>
      <c r="D160" s="133"/>
      <c r="E160" s="133"/>
    </row>
    <row r="161" spans="1:5" s="8" customFormat="1" x14ac:dyDescent="0.25">
      <c r="A161" s="3"/>
      <c r="B161" s="10"/>
      <c r="C161" s="3"/>
      <c r="D161" s="133"/>
      <c r="E161" s="133"/>
    </row>
    <row r="162" spans="1:5" s="8" customFormat="1" x14ac:dyDescent="0.25">
      <c r="A162" s="3"/>
      <c r="B162" s="10"/>
      <c r="C162" s="3"/>
      <c r="D162" s="133"/>
      <c r="E162" s="133"/>
    </row>
    <row r="163" spans="1:5" s="8" customFormat="1" x14ac:dyDescent="0.25">
      <c r="A163" s="3"/>
      <c r="B163" s="10"/>
      <c r="C163" s="3"/>
      <c r="D163" s="133"/>
      <c r="E163" s="133"/>
    </row>
    <row r="164" spans="1:5" s="8" customFormat="1" x14ac:dyDescent="0.25">
      <c r="A164" s="3"/>
      <c r="B164" s="10"/>
      <c r="C164" s="3"/>
      <c r="D164" s="133"/>
      <c r="E164" s="133"/>
    </row>
    <row r="165" spans="1:5" s="8" customFormat="1" x14ac:dyDescent="0.25">
      <c r="A165" s="3"/>
      <c r="B165" s="10"/>
      <c r="C165" s="3"/>
      <c r="D165" s="133"/>
      <c r="E165" s="133"/>
    </row>
    <row r="166" spans="1:5" s="8" customFormat="1" x14ac:dyDescent="0.25">
      <c r="A166" s="3"/>
      <c r="B166" s="10"/>
      <c r="C166" s="3"/>
      <c r="D166" s="133"/>
      <c r="E166" s="133"/>
    </row>
    <row r="167" spans="1:5" s="8" customFormat="1" x14ac:dyDescent="0.25">
      <c r="A167" s="3"/>
      <c r="B167" s="10"/>
      <c r="C167" s="3"/>
      <c r="D167" s="133"/>
      <c r="E167" s="133"/>
    </row>
    <row r="168" spans="1:5" s="8" customFormat="1" x14ac:dyDescent="0.25">
      <c r="A168" s="3"/>
      <c r="B168" s="10"/>
      <c r="C168" s="3"/>
      <c r="D168" s="133"/>
      <c r="E168" s="133"/>
    </row>
    <row r="169" spans="1:5" s="8" customFormat="1" x14ac:dyDescent="0.25">
      <c r="A169" s="3"/>
      <c r="B169" s="10"/>
      <c r="C169" s="3"/>
      <c r="D169" s="133"/>
      <c r="E169" s="133"/>
    </row>
    <row r="170" spans="1:5" s="8" customFormat="1" x14ac:dyDescent="0.25">
      <c r="A170" s="3"/>
      <c r="B170" s="10"/>
      <c r="C170" s="3"/>
      <c r="D170" s="133"/>
      <c r="E170" s="133"/>
    </row>
    <row r="171" spans="1:5" s="8" customFormat="1" x14ac:dyDescent="0.25">
      <c r="A171" s="3"/>
      <c r="B171" s="10"/>
      <c r="C171" s="3"/>
      <c r="D171" s="133"/>
      <c r="E171" s="133"/>
    </row>
    <row r="172" spans="1:5" s="8" customFormat="1" x14ac:dyDescent="0.25">
      <c r="A172" s="3"/>
      <c r="B172" s="10"/>
      <c r="C172" s="3"/>
      <c r="D172" s="133"/>
      <c r="E172" s="133"/>
    </row>
    <row r="173" spans="1:5" s="8" customFormat="1" x14ac:dyDescent="0.25">
      <c r="A173" s="3"/>
      <c r="B173" s="10"/>
      <c r="C173" s="3"/>
      <c r="D173" s="133"/>
      <c r="E173" s="133"/>
    </row>
    <row r="174" spans="1:5" s="8" customFormat="1" x14ac:dyDescent="0.25">
      <c r="A174" s="3"/>
      <c r="B174" s="10"/>
      <c r="C174" s="3"/>
      <c r="D174" s="133"/>
      <c r="E174" s="133"/>
    </row>
    <row r="175" spans="1:5" s="8" customFormat="1" x14ac:dyDescent="0.25">
      <c r="A175" s="3"/>
      <c r="B175" s="10"/>
      <c r="C175" s="3"/>
      <c r="D175" s="133"/>
      <c r="E175" s="133"/>
    </row>
    <row r="176" spans="1:5" s="8" customFormat="1" x14ac:dyDescent="0.25">
      <c r="A176" s="3"/>
      <c r="B176" s="10"/>
      <c r="C176" s="3"/>
      <c r="D176" s="133"/>
      <c r="E176" s="133"/>
    </row>
    <row r="177" spans="1:5" s="8" customFormat="1" x14ac:dyDescent="0.25">
      <c r="A177" s="3"/>
      <c r="B177" s="10"/>
      <c r="C177" s="3"/>
      <c r="D177" s="133"/>
      <c r="E177" s="133"/>
    </row>
    <row r="178" spans="1:5" s="8" customFormat="1" x14ac:dyDescent="0.25">
      <c r="A178" s="3"/>
      <c r="B178" s="10"/>
      <c r="C178" s="3"/>
      <c r="D178" s="133"/>
      <c r="E178" s="133"/>
    </row>
    <row r="179" spans="1:5" s="8" customFormat="1" x14ac:dyDescent="0.25">
      <c r="A179" s="3"/>
      <c r="B179" s="10"/>
      <c r="C179" s="3"/>
      <c r="D179" s="133"/>
      <c r="E179" s="133"/>
    </row>
    <row r="180" spans="1:5" s="8" customFormat="1" x14ac:dyDescent="0.25">
      <c r="A180" s="3"/>
      <c r="B180" s="10"/>
      <c r="C180" s="3"/>
      <c r="D180" s="133"/>
      <c r="E180" s="133"/>
    </row>
    <row r="181" spans="1:5" s="8" customFormat="1" x14ac:dyDescent="0.25">
      <c r="A181" s="3"/>
      <c r="B181" s="10"/>
      <c r="C181" s="3"/>
      <c r="D181" s="133"/>
      <c r="E181" s="133"/>
    </row>
    <row r="182" spans="1:5" s="8" customFormat="1" x14ac:dyDescent="0.25">
      <c r="A182" s="3"/>
      <c r="B182" s="10"/>
      <c r="C182" s="3"/>
      <c r="D182" s="133"/>
      <c r="E182" s="133"/>
    </row>
    <row r="183" spans="1:5" s="8" customFormat="1" x14ac:dyDescent="0.25">
      <c r="A183" s="3"/>
      <c r="B183" s="10"/>
      <c r="C183" s="3"/>
      <c r="D183" s="133"/>
      <c r="E183" s="133"/>
    </row>
    <row r="184" spans="1:5" s="8" customFormat="1" x14ac:dyDescent="0.25">
      <c r="A184" s="3"/>
      <c r="B184" s="10"/>
      <c r="C184" s="3"/>
      <c r="D184" s="133"/>
      <c r="E184" s="133"/>
    </row>
    <row r="185" spans="1:5" s="8" customFormat="1" x14ac:dyDescent="0.25">
      <c r="A185" s="3"/>
      <c r="B185" s="10"/>
      <c r="C185" s="3"/>
      <c r="D185" s="133"/>
      <c r="E185" s="133"/>
    </row>
    <row r="186" spans="1:5" s="8" customFormat="1" x14ac:dyDescent="0.25">
      <c r="A186" s="3"/>
      <c r="B186" s="10"/>
      <c r="C186" s="3"/>
      <c r="D186" s="133"/>
      <c r="E186" s="133"/>
    </row>
    <row r="187" spans="1:5" s="8" customFormat="1" x14ac:dyDescent="0.25">
      <c r="A187" s="3"/>
      <c r="B187" s="10"/>
      <c r="C187" s="3"/>
      <c r="D187" s="133"/>
      <c r="E187" s="133"/>
    </row>
    <row r="188" spans="1:5" s="8" customFormat="1" x14ac:dyDescent="0.25">
      <c r="A188" s="3"/>
      <c r="B188" s="10"/>
      <c r="C188" s="3"/>
      <c r="D188" s="133"/>
      <c r="E188" s="133"/>
    </row>
    <row r="189" spans="1:5" s="8" customFormat="1" x14ac:dyDescent="0.25">
      <c r="A189" s="3"/>
      <c r="B189" s="10"/>
      <c r="C189" s="3"/>
      <c r="D189" s="133"/>
      <c r="E189" s="133"/>
    </row>
    <row r="190" spans="1:5" s="8" customFormat="1" x14ac:dyDescent="0.25">
      <c r="A190" s="3"/>
      <c r="B190" s="10"/>
      <c r="C190" s="3"/>
      <c r="D190" s="133"/>
      <c r="E190" s="133"/>
    </row>
    <row r="191" spans="1:5" s="8" customFormat="1" x14ac:dyDescent="0.25">
      <c r="A191" s="3"/>
      <c r="B191" s="10"/>
      <c r="C191" s="3"/>
      <c r="D191" s="133"/>
      <c r="E191" s="133"/>
    </row>
    <row r="192" spans="1:5" s="8" customFormat="1" x14ac:dyDescent="0.25">
      <c r="A192" s="3"/>
      <c r="B192" s="10"/>
      <c r="C192" s="3"/>
      <c r="D192" s="133"/>
      <c r="E192" s="133"/>
    </row>
    <row r="193" spans="1:5" s="8" customFormat="1" x14ac:dyDescent="0.25">
      <c r="A193" s="3"/>
      <c r="B193" s="10"/>
      <c r="C193" s="3"/>
      <c r="D193" s="133"/>
      <c r="E193" s="133"/>
    </row>
    <row r="194" spans="1:5" s="8" customFormat="1" x14ac:dyDescent="0.25">
      <c r="A194" s="3"/>
      <c r="B194" s="10"/>
      <c r="C194" s="3"/>
      <c r="D194" s="133"/>
      <c r="E194" s="133"/>
    </row>
    <row r="195" spans="1:5" s="8" customFormat="1" x14ac:dyDescent="0.25">
      <c r="A195" s="3"/>
      <c r="B195" s="10"/>
      <c r="C195" s="3"/>
      <c r="D195" s="133"/>
      <c r="E195" s="133"/>
    </row>
    <row r="196" spans="1:5" s="8" customFormat="1" x14ac:dyDescent="0.25">
      <c r="A196" s="3"/>
      <c r="B196" s="10"/>
      <c r="C196" s="3"/>
      <c r="D196" s="133"/>
      <c r="E196" s="133"/>
    </row>
    <row r="197" spans="1:5" s="8" customFormat="1" x14ac:dyDescent="0.25">
      <c r="A197" s="3"/>
      <c r="B197" s="10"/>
      <c r="C197" s="3"/>
      <c r="D197" s="133"/>
      <c r="E197" s="133"/>
    </row>
    <row r="198" spans="1:5" s="8" customFormat="1" x14ac:dyDescent="0.25">
      <c r="A198" s="3"/>
      <c r="B198" s="10"/>
      <c r="C198" s="3"/>
      <c r="D198" s="133"/>
      <c r="E198" s="133"/>
    </row>
    <row r="199" spans="1:5" s="8" customFormat="1" x14ac:dyDescent="0.25">
      <c r="A199" s="3"/>
      <c r="B199" s="10"/>
      <c r="C199" s="3"/>
      <c r="D199" s="133"/>
      <c r="E199" s="133"/>
    </row>
    <row r="200" spans="1:5" s="8" customFormat="1" x14ac:dyDescent="0.25">
      <c r="A200" s="3"/>
      <c r="B200" s="10"/>
      <c r="C200" s="3"/>
      <c r="D200" s="133"/>
      <c r="E200" s="133"/>
    </row>
    <row r="201" spans="1:5" s="8" customFormat="1" x14ac:dyDescent="0.25">
      <c r="A201" s="3"/>
      <c r="B201" s="10"/>
      <c r="C201" s="3"/>
      <c r="D201" s="133"/>
      <c r="E201" s="133"/>
    </row>
    <row r="202" spans="1:5" s="8" customFormat="1" x14ac:dyDescent="0.25">
      <c r="A202" s="3"/>
      <c r="B202" s="10"/>
      <c r="C202" s="3"/>
      <c r="D202" s="133"/>
      <c r="E202" s="133"/>
    </row>
    <row r="203" spans="1:5" s="8" customFormat="1" x14ac:dyDescent="0.25">
      <c r="A203" s="3"/>
      <c r="B203" s="10"/>
      <c r="C203" s="3"/>
      <c r="D203" s="133"/>
      <c r="E203" s="133"/>
    </row>
    <row r="204" spans="1:5" s="8" customFormat="1" x14ac:dyDescent="0.25">
      <c r="A204" s="3"/>
      <c r="B204" s="10"/>
      <c r="C204" s="3"/>
      <c r="D204" s="133"/>
      <c r="E204" s="133"/>
    </row>
    <row r="205" spans="1:5" s="8" customFormat="1" x14ac:dyDescent="0.25">
      <c r="A205" s="3"/>
      <c r="B205" s="10"/>
      <c r="C205" s="3"/>
      <c r="D205" s="133"/>
      <c r="E205" s="133"/>
    </row>
    <row r="206" spans="1:5" s="8" customFormat="1" x14ac:dyDescent="0.25">
      <c r="A206" s="3"/>
      <c r="B206" s="10"/>
      <c r="C206" s="3"/>
      <c r="D206" s="133"/>
      <c r="E206" s="133"/>
    </row>
    <row r="207" spans="1:5" s="8" customFormat="1" x14ac:dyDescent="0.25">
      <c r="A207" s="3"/>
      <c r="B207" s="10"/>
      <c r="C207" s="3"/>
      <c r="D207" s="133"/>
      <c r="E207" s="133"/>
    </row>
    <row r="208" spans="1:5" s="8" customFormat="1" x14ac:dyDescent="0.25">
      <c r="A208" s="3"/>
      <c r="B208" s="10"/>
      <c r="C208" s="3"/>
      <c r="D208" s="133"/>
      <c r="E208" s="133"/>
    </row>
    <row r="209" spans="1:5" s="8" customFormat="1" x14ac:dyDescent="0.25">
      <c r="A209" s="3"/>
      <c r="B209" s="10"/>
      <c r="C209" s="3"/>
      <c r="D209" s="133"/>
      <c r="E209" s="133"/>
    </row>
    <row r="210" spans="1:5" s="8" customFormat="1" x14ac:dyDescent="0.25">
      <c r="A210" s="3"/>
      <c r="B210" s="10"/>
      <c r="C210" s="3"/>
      <c r="D210" s="133"/>
      <c r="E210" s="133"/>
    </row>
    <row r="211" spans="1:5" s="8" customFormat="1" x14ac:dyDescent="0.25">
      <c r="A211" s="3"/>
      <c r="B211" s="10"/>
      <c r="C211" s="3"/>
      <c r="D211" s="133"/>
      <c r="E211" s="133"/>
    </row>
    <row r="212" spans="1:5" s="8" customFormat="1" x14ac:dyDescent="0.25">
      <c r="A212" s="3"/>
      <c r="B212" s="10"/>
      <c r="C212" s="3"/>
      <c r="D212" s="133"/>
      <c r="E212" s="133"/>
    </row>
    <row r="213" spans="1:5" s="8" customFormat="1" x14ac:dyDescent="0.25">
      <c r="A213" s="3"/>
      <c r="B213" s="10"/>
      <c r="C213" s="3"/>
      <c r="D213" s="133"/>
      <c r="E213" s="133"/>
    </row>
    <row r="214" spans="1:5" s="8" customFormat="1" x14ac:dyDescent="0.25">
      <c r="A214" s="3"/>
      <c r="B214" s="10"/>
      <c r="C214" s="3"/>
      <c r="D214" s="133"/>
      <c r="E214" s="133"/>
    </row>
    <row r="215" spans="1:5" s="8" customFormat="1" x14ac:dyDescent="0.25">
      <c r="A215" s="3"/>
      <c r="B215" s="10"/>
      <c r="C215" s="3"/>
      <c r="D215" s="133"/>
      <c r="E215" s="133"/>
    </row>
    <row r="216" spans="1:5" s="8" customFormat="1" x14ac:dyDescent="0.25">
      <c r="A216" s="3"/>
      <c r="B216" s="10"/>
      <c r="C216" s="3"/>
      <c r="D216" s="133"/>
      <c r="E216" s="133"/>
    </row>
    <row r="217" spans="1:5" s="8" customFormat="1" x14ac:dyDescent="0.25">
      <c r="A217" s="3"/>
      <c r="B217" s="10"/>
      <c r="C217" s="3"/>
      <c r="D217" s="133"/>
      <c r="E217" s="133"/>
    </row>
    <row r="218" spans="1:5" s="8" customFormat="1" x14ac:dyDescent="0.25">
      <c r="A218" s="3"/>
      <c r="B218" s="10"/>
      <c r="C218" s="3"/>
      <c r="D218" s="133"/>
      <c r="E218" s="133"/>
    </row>
    <row r="219" spans="1:5" s="8" customFormat="1" x14ac:dyDescent="0.25">
      <c r="A219" s="3"/>
      <c r="B219" s="10"/>
      <c r="C219" s="3"/>
      <c r="D219" s="133"/>
      <c r="E219" s="133"/>
    </row>
    <row r="220" spans="1:5" s="8" customFormat="1" x14ac:dyDescent="0.25">
      <c r="A220" s="3"/>
      <c r="B220" s="10"/>
      <c r="C220" s="3"/>
      <c r="D220" s="133"/>
      <c r="E220" s="133"/>
    </row>
    <row r="221" spans="1:5" s="8" customFormat="1" x14ac:dyDescent="0.25">
      <c r="A221" s="3"/>
      <c r="B221" s="10"/>
      <c r="C221" s="3"/>
      <c r="D221" s="133"/>
      <c r="E221" s="133"/>
    </row>
    <row r="222" spans="1:5" s="8" customFormat="1" x14ac:dyDescent="0.25">
      <c r="A222" s="3"/>
      <c r="B222" s="10"/>
      <c r="C222" s="3"/>
      <c r="D222" s="133"/>
      <c r="E222" s="133"/>
    </row>
    <row r="223" spans="1:5" s="8" customFormat="1" x14ac:dyDescent="0.25">
      <c r="A223" s="3"/>
      <c r="B223" s="10"/>
      <c r="C223" s="3"/>
      <c r="D223" s="133"/>
      <c r="E223" s="133"/>
    </row>
  </sheetData>
  <sheetProtection algorithmName="SHA-512" hashValue="Y4JYfGjvslXDHctLGwjPifF47+Snby63qHc24hRQmEgOIzPNASM6FHo1jF2A1XPdZFgaQTo7TwlZbj25ofUy/w==" saltValue="kbVB4bD9vk8yUeFtDzdZhg==" spinCount="100000" sheet="1" objects="1" scenarios="1" selectLockedCells="1"/>
  <mergeCells count="1">
    <mergeCell ref="A1:E2"/>
  </mergeCells>
  <pageMargins left="4.2519685039370083" right="0.70866141732283472" top="0.74803149606299213" bottom="0" header="0.31496062992125984" footer="0.31496062992125984"/>
  <pageSetup paperSize="8" orientation="landscape"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23"/>
  <sheetViews>
    <sheetView showGridLines="0" zoomScaleNormal="100" workbookViewId="0">
      <selection activeCell="D4" sqref="D4"/>
    </sheetView>
  </sheetViews>
  <sheetFormatPr defaultColWidth="8.85546875" defaultRowHeight="11.25" x14ac:dyDescent="0.25"/>
  <cols>
    <col min="1" max="1" width="6.7109375" style="3" customWidth="1"/>
    <col min="2" max="2" width="49.5703125" style="10" customWidth="1"/>
    <col min="3" max="3" width="8.7109375" style="3" customWidth="1"/>
    <col min="4" max="4" width="13.7109375" style="133" customWidth="1"/>
    <col min="5" max="5" width="15.7109375" style="133" customWidth="1"/>
    <col min="6" max="16384" width="8.85546875" style="3"/>
  </cols>
  <sheetData>
    <row r="1" spans="1:5" ht="11.25" customHeight="1" x14ac:dyDescent="0.25">
      <c r="A1" s="289" t="s">
        <v>1334</v>
      </c>
      <c r="B1" s="289"/>
      <c r="C1" s="289"/>
      <c r="D1" s="289"/>
      <c r="E1" s="289"/>
    </row>
    <row r="2" spans="1:5" ht="11.25" customHeight="1" x14ac:dyDescent="0.25">
      <c r="A2" s="289"/>
      <c r="B2" s="289"/>
      <c r="C2" s="289"/>
      <c r="D2" s="289"/>
      <c r="E2" s="289"/>
    </row>
    <row r="3" spans="1:5" s="7" customFormat="1" ht="10.5" x14ac:dyDescent="0.25">
      <c r="A3" s="7" t="s">
        <v>1119</v>
      </c>
      <c r="B3" s="7" t="s">
        <v>814</v>
      </c>
      <c r="C3" s="7" t="s">
        <v>1132</v>
      </c>
      <c r="D3" s="187" t="s">
        <v>1385</v>
      </c>
      <c r="E3" s="132" t="s">
        <v>1600</v>
      </c>
    </row>
    <row r="4" spans="1:5" s="8" customFormat="1" x14ac:dyDescent="0.25">
      <c r="A4" s="253" t="s">
        <v>4</v>
      </c>
      <c r="B4" s="254" t="s">
        <v>1010</v>
      </c>
      <c r="C4" s="253">
        <v>1</v>
      </c>
      <c r="D4" s="237"/>
      <c r="E4" s="236">
        <f>Montag_Sala_Vacina_Diversos[[#This Row],[VALOR UNID]]*Montag_Sala_Vacina_Dados[[#This Row],[QUANT]]</f>
        <v>0</v>
      </c>
    </row>
    <row r="5" spans="1:5" s="8" customFormat="1" x14ac:dyDescent="0.25">
      <c r="A5" s="22" t="s">
        <v>9</v>
      </c>
      <c r="B5" s="21" t="s">
        <v>1011</v>
      </c>
      <c r="C5" s="22">
        <v>1</v>
      </c>
      <c r="D5" s="171"/>
      <c r="E5" s="15">
        <f>Montag_Sala_Vacina_Diversos[[#This Row],[VALOR UNID]]*Montag_Sala_Vacina_Dados[[#This Row],[QUANT]]</f>
        <v>0</v>
      </c>
    </row>
    <row r="6" spans="1:5" s="8" customFormat="1" x14ac:dyDescent="0.25">
      <c r="A6" s="253" t="s">
        <v>12</v>
      </c>
      <c r="B6" s="254" t="s">
        <v>1012</v>
      </c>
      <c r="C6" s="253">
        <v>1</v>
      </c>
      <c r="D6" s="237"/>
      <c r="E6" s="236">
        <f>Montag_Sala_Vacina_Diversos[[#This Row],[VALOR UNID]]*Montag_Sala_Vacina_Dados[[#This Row],[QUANT]]</f>
        <v>0</v>
      </c>
    </row>
    <row r="7" spans="1:5" s="8" customFormat="1" x14ac:dyDescent="0.25">
      <c r="A7" s="22" t="s">
        <v>15</v>
      </c>
      <c r="B7" s="21" t="s">
        <v>1013</v>
      </c>
      <c r="C7" s="22">
        <v>1</v>
      </c>
      <c r="D7" s="171"/>
      <c r="E7" s="15">
        <f>Montag_Sala_Vacina_Diversos[[#This Row],[VALOR UNID]]*Montag_Sala_Vacina_Dados[[#This Row],[QUANT]]</f>
        <v>0</v>
      </c>
    </row>
    <row r="8" spans="1:5" s="8" customFormat="1" x14ac:dyDescent="0.25">
      <c r="A8" s="253" t="s">
        <v>18</v>
      </c>
      <c r="B8" s="254" t="s">
        <v>1014</v>
      </c>
      <c r="C8" s="253">
        <v>2</v>
      </c>
      <c r="D8" s="237"/>
      <c r="E8" s="236">
        <f>Montag_Sala_Vacina_Diversos[[#This Row],[VALOR UNID]]*Montag_Sala_Vacina_Dados[[#This Row],[QUANT]]</f>
        <v>0</v>
      </c>
    </row>
    <row r="9" spans="1:5" s="8" customFormat="1" x14ac:dyDescent="0.25">
      <c r="A9" s="22" t="s">
        <v>21</v>
      </c>
      <c r="B9" s="21" t="s">
        <v>1331</v>
      </c>
      <c r="C9" s="22">
        <v>21</v>
      </c>
      <c r="D9" s="171"/>
      <c r="E9" s="15">
        <f>Montag_Sala_Vacina_Diversos[[#This Row],[VALOR UNID]]*Montag_Sala_Vacina_Dados[[#This Row],[QUANT]]</f>
        <v>0</v>
      </c>
    </row>
    <row r="10" spans="1:5" s="8" customFormat="1" ht="78.75" x14ac:dyDescent="0.25">
      <c r="A10" s="253" t="s">
        <v>24</v>
      </c>
      <c r="B10" s="254" t="s">
        <v>1015</v>
      </c>
      <c r="C10" s="253">
        <v>1</v>
      </c>
      <c r="D10" s="237"/>
      <c r="E10" s="236">
        <f>Montag_Sala_Vacina_Diversos[[#This Row],[VALOR UNID]]*Montag_Sala_Vacina_Dados[[#This Row],[QUANT]]</f>
        <v>0</v>
      </c>
    </row>
    <row r="11" spans="1:5" s="8" customFormat="1" x14ac:dyDescent="0.25">
      <c r="A11" s="22" t="s">
        <v>28</v>
      </c>
      <c r="B11" s="21" t="s">
        <v>1016</v>
      </c>
      <c r="C11" s="22">
        <v>2</v>
      </c>
      <c r="D11" s="171"/>
      <c r="E11" s="15">
        <f>Montag_Sala_Vacina_Diversos[[#This Row],[VALOR UNID]]*Montag_Sala_Vacina_Dados[[#This Row],[QUANT]]</f>
        <v>0</v>
      </c>
    </row>
    <row r="12" spans="1:5" s="8" customFormat="1" x14ac:dyDescent="0.25">
      <c r="A12" s="253" t="s">
        <v>29</v>
      </c>
      <c r="B12" s="254" t="s">
        <v>1017</v>
      </c>
      <c r="C12" s="253">
        <v>1</v>
      </c>
      <c r="D12" s="237"/>
      <c r="E12" s="236">
        <f>Montag_Sala_Vacina_Diversos[[#This Row],[VALOR UNID]]*Montag_Sala_Vacina_Dados[[#This Row],[QUANT]]</f>
        <v>0</v>
      </c>
    </row>
    <row r="13" spans="1:5" s="8" customFormat="1" x14ac:dyDescent="0.25">
      <c r="A13" s="22" t="s">
        <v>31</v>
      </c>
      <c r="B13" s="21" t="s">
        <v>1018</v>
      </c>
      <c r="C13" s="22">
        <v>1</v>
      </c>
      <c r="D13" s="171"/>
      <c r="E13" s="15">
        <f>Montag_Sala_Vacina_Diversos[[#This Row],[VALOR UNID]]*Montag_Sala_Vacina_Dados[[#This Row],[QUANT]]</f>
        <v>0</v>
      </c>
    </row>
    <row r="14" spans="1:5" s="8" customFormat="1" x14ac:dyDescent="0.25">
      <c r="A14" s="253" t="s">
        <v>35</v>
      </c>
      <c r="B14" s="254" t="s">
        <v>1019</v>
      </c>
      <c r="C14" s="253">
        <v>1</v>
      </c>
      <c r="D14" s="237"/>
      <c r="E14" s="236">
        <f>Montag_Sala_Vacina_Diversos[[#This Row],[VALOR UNID]]*Montag_Sala_Vacina_Dados[[#This Row],[QUANT]]</f>
        <v>0</v>
      </c>
    </row>
    <row r="15" spans="1:5" s="8" customFormat="1" x14ac:dyDescent="0.25">
      <c r="A15" s="22" t="s">
        <v>37</v>
      </c>
      <c r="B15" s="21" t="s">
        <v>1020</v>
      </c>
      <c r="C15" s="22">
        <v>1</v>
      </c>
      <c r="D15" s="171"/>
      <c r="E15" s="15">
        <f>Montag_Sala_Vacina_Diversos[[#This Row],[VALOR UNID]]*Montag_Sala_Vacina_Dados[[#This Row],[QUANT]]</f>
        <v>0</v>
      </c>
    </row>
    <row r="16" spans="1:5" s="8" customFormat="1" x14ac:dyDescent="0.25">
      <c r="A16" s="253" t="s">
        <v>41</v>
      </c>
      <c r="B16" s="256" t="s">
        <v>1021</v>
      </c>
      <c r="C16" s="253">
        <v>2</v>
      </c>
      <c r="D16" s="237"/>
      <c r="E16" s="236">
        <f>Montag_Sala_Vacina_Diversos[[#This Row],[VALOR UNID]]*Montag_Sala_Vacina_Dados[[#This Row],[QUANT]]</f>
        <v>0</v>
      </c>
    </row>
    <row r="17" spans="1:5" s="8" customFormat="1" x14ac:dyDescent="0.25">
      <c r="A17" s="22" t="s">
        <v>43</v>
      </c>
      <c r="B17" s="25" t="s">
        <v>1022</v>
      </c>
      <c r="C17" s="22">
        <v>1</v>
      </c>
      <c r="D17" s="171"/>
      <c r="E17" s="15">
        <f>Montag_Sala_Vacina_Diversos[[#This Row],[VALOR UNID]]*Montag_Sala_Vacina_Dados[[#This Row],[QUANT]]</f>
        <v>0</v>
      </c>
    </row>
    <row r="18" spans="1:5" s="8" customFormat="1" x14ac:dyDescent="0.25">
      <c r="A18" s="253" t="s">
        <v>46</v>
      </c>
      <c r="B18" s="256" t="s">
        <v>1023</v>
      </c>
      <c r="C18" s="253">
        <v>1</v>
      </c>
      <c r="D18" s="237"/>
      <c r="E18" s="236">
        <f>Montag_Sala_Vacina_Diversos[[#This Row],[VALOR UNID]]*Montag_Sala_Vacina_Dados[[#This Row],[QUANT]]</f>
        <v>0</v>
      </c>
    </row>
    <row r="19" spans="1:5" s="8" customFormat="1" x14ac:dyDescent="0.25">
      <c r="A19" s="22" t="s">
        <v>49</v>
      </c>
      <c r="B19" s="25" t="s">
        <v>1024</v>
      </c>
      <c r="C19" s="22">
        <v>1</v>
      </c>
      <c r="D19" s="171"/>
      <c r="E19" s="15">
        <f>Montag_Sala_Vacina_Diversos[[#This Row],[VALOR UNID]]*Montag_Sala_Vacina_Dados[[#This Row],[QUANT]]</f>
        <v>0</v>
      </c>
    </row>
    <row r="20" spans="1:5" s="8" customFormat="1" x14ac:dyDescent="0.25">
      <c r="A20" s="253" t="s">
        <v>53</v>
      </c>
      <c r="B20" s="256" t="s">
        <v>1025</v>
      </c>
      <c r="C20" s="253">
        <v>1</v>
      </c>
      <c r="D20" s="237"/>
      <c r="E20" s="236">
        <f>Montag_Sala_Vacina_Diversos[[#This Row],[VALOR UNID]]*Montag_Sala_Vacina_Dados[[#This Row],[QUANT]]</f>
        <v>0</v>
      </c>
    </row>
    <row r="21" spans="1:5" s="8" customFormat="1" x14ac:dyDescent="0.25">
      <c r="A21" s="22" t="s">
        <v>57</v>
      </c>
      <c r="B21" s="25" t="s">
        <v>1026</v>
      </c>
      <c r="C21" s="22">
        <v>2</v>
      </c>
      <c r="D21" s="171"/>
      <c r="E21" s="15">
        <f>Montag_Sala_Vacina_Diversos[[#This Row],[VALOR UNID]]*Montag_Sala_Vacina_Dados[[#This Row],[QUANT]]</f>
        <v>0</v>
      </c>
    </row>
    <row r="22" spans="1:5" s="8" customFormat="1" x14ac:dyDescent="0.25">
      <c r="A22" s="253" t="s">
        <v>59</v>
      </c>
      <c r="B22" s="256" t="s">
        <v>1027</v>
      </c>
      <c r="C22" s="253">
        <v>1</v>
      </c>
      <c r="D22" s="237"/>
      <c r="E22" s="236">
        <f>Montag_Sala_Vacina_Diversos[[#This Row],[VALOR UNID]]*Montag_Sala_Vacina_Dados[[#This Row],[QUANT]]</f>
        <v>0</v>
      </c>
    </row>
    <row r="23" spans="1:5" s="8" customFormat="1" x14ac:dyDescent="0.25">
      <c r="A23" s="22" t="s">
        <v>62</v>
      </c>
      <c r="B23" s="25" t="s">
        <v>1028</v>
      </c>
      <c r="C23" s="22">
        <v>1</v>
      </c>
      <c r="D23" s="171"/>
      <c r="E23" s="15">
        <f>Montag_Sala_Vacina_Diversos[[#This Row],[VALOR UNID]]*Montag_Sala_Vacina_Dados[[#This Row],[QUANT]]</f>
        <v>0</v>
      </c>
    </row>
    <row r="24" spans="1:5" s="8" customFormat="1" x14ac:dyDescent="0.25">
      <c r="A24" s="253" t="s">
        <v>65</v>
      </c>
      <c r="B24" s="256" t="s">
        <v>1029</v>
      </c>
      <c r="C24" s="253">
        <v>21</v>
      </c>
      <c r="D24" s="237"/>
      <c r="E24" s="236">
        <f>Montag_Sala_Vacina_Diversos[[#This Row],[VALOR UNID]]*Montag_Sala_Vacina_Dados[[#This Row],[QUANT]]</f>
        <v>0</v>
      </c>
    </row>
    <row r="25" spans="1:5" s="8" customFormat="1" x14ac:dyDescent="0.25">
      <c r="A25" s="140"/>
      <c r="B25" s="45"/>
      <c r="C25" s="46">
        <f t="shared" ref="C25" si="0">SUBTOTAL(109,C4:C24)</f>
        <v>65</v>
      </c>
      <c r="D25" s="14"/>
      <c r="E25" s="14">
        <f>SUBTOTAL(109,Montag_Sala_Vacina_Diversos[[VALOR TOTAL ]])</f>
        <v>0</v>
      </c>
    </row>
    <row r="26" spans="1:5" s="8" customFormat="1" x14ac:dyDescent="0.25">
      <c r="A26" s="3"/>
      <c r="B26" s="36"/>
      <c r="C26" s="3"/>
      <c r="D26" s="133"/>
      <c r="E26" s="133"/>
    </row>
    <row r="27" spans="1:5" s="8" customFormat="1" x14ac:dyDescent="0.25">
      <c r="A27" s="3"/>
      <c r="B27" s="36" t="s">
        <v>1665</v>
      </c>
      <c r="C27" s="3"/>
      <c r="D27" s="133"/>
      <c r="E27" s="133"/>
    </row>
    <row r="28" spans="1:5" s="8" customFormat="1" x14ac:dyDescent="0.25">
      <c r="A28" s="3"/>
      <c r="B28" s="10"/>
      <c r="C28" s="3"/>
      <c r="D28" s="133"/>
      <c r="E28" s="133"/>
    </row>
    <row r="29" spans="1:5" s="8" customFormat="1" x14ac:dyDescent="0.25">
      <c r="A29" s="3"/>
      <c r="B29" s="10"/>
      <c r="C29" s="3"/>
      <c r="D29" s="133"/>
      <c r="E29" s="133"/>
    </row>
    <row r="30" spans="1:5" s="8" customFormat="1" x14ac:dyDescent="0.25">
      <c r="A30" s="3"/>
      <c r="B30" s="10"/>
      <c r="C30" s="3"/>
      <c r="D30" s="133"/>
      <c r="E30" s="133"/>
    </row>
    <row r="31" spans="1:5" s="8" customFormat="1" x14ac:dyDescent="0.25">
      <c r="A31" s="3"/>
      <c r="B31" s="10"/>
      <c r="C31" s="3"/>
      <c r="D31" s="133"/>
      <c r="E31" s="133"/>
    </row>
    <row r="32" spans="1:5" s="8" customFormat="1" x14ac:dyDescent="0.25">
      <c r="A32" s="3"/>
      <c r="B32" s="10"/>
      <c r="C32" s="3"/>
      <c r="D32" s="133"/>
      <c r="E32" s="133"/>
    </row>
    <row r="33" spans="1:5" s="8" customFormat="1" x14ac:dyDescent="0.25">
      <c r="A33" s="3"/>
      <c r="B33" s="10"/>
      <c r="C33" s="3"/>
      <c r="D33" s="133"/>
      <c r="E33" s="133"/>
    </row>
    <row r="34" spans="1:5" s="8" customFormat="1" x14ac:dyDescent="0.25">
      <c r="A34" s="3"/>
      <c r="B34" s="10"/>
      <c r="C34" s="3"/>
      <c r="D34" s="133"/>
      <c r="E34" s="133"/>
    </row>
    <row r="35" spans="1:5" s="8" customFormat="1" x14ac:dyDescent="0.25">
      <c r="A35" s="3"/>
      <c r="B35" s="10"/>
      <c r="C35" s="3"/>
      <c r="D35" s="133"/>
      <c r="E35" s="133"/>
    </row>
    <row r="36" spans="1:5" s="8" customFormat="1" x14ac:dyDescent="0.25">
      <c r="A36" s="3"/>
      <c r="B36" s="10"/>
      <c r="C36" s="3"/>
      <c r="D36" s="133"/>
      <c r="E36" s="133"/>
    </row>
    <row r="37" spans="1:5" s="8" customFormat="1" x14ac:dyDescent="0.25">
      <c r="A37" s="3"/>
      <c r="B37" s="10"/>
      <c r="C37" s="3"/>
      <c r="D37" s="133"/>
      <c r="E37" s="133"/>
    </row>
    <row r="38" spans="1:5" s="8" customFormat="1" x14ac:dyDescent="0.25">
      <c r="A38" s="3"/>
      <c r="B38" s="10"/>
      <c r="C38" s="3"/>
      <c r="D38" s="133"/>
      <c r="E38" s="133"/>
    </row>
    <row r="39" spans="1:5" s="8" customFormat="1" x14ac:dyDescent="0.25">
      <c r="A39" s="3"/>
      <c r="B39" s="10"/>
      <c r="C39" s="3"/>
      <c r="D39" s="133"/>
      <c r="E39" s="133"/>
    </row>
    <row r="40" spans="1:5" s="8" customFormat="1" x14ac:dyDescent="0.25">
      <c r="A40" s="3"/>
      <c r="B40" s="10"/>
      <c r="C40" s="3"/>
      <c r="D40" s="133"/>
      <c r="E40" s="133"/>
    </row>
    <row r="41" spans="1:5" s="8" customFormat="1" x14ac:dyDescent="0.25">
      <c r="A41" s="3"/>
      <c r="B41" s="10"/>
      <c r="C41" s="3"/>
      <c r="D41" s="133"/>
      <c r="E41" s="133"/>
    </row>
    <row r="42" spans="1:5" s="8" customFormat="1" x14ac:dyDescent="0.25">
      <c r="A42" s="3"/>
      <c r="B42" s="10"/>
      <c r="C42" s="3"/>
      <c r="D42" s="133"/>
      <c r="E42" s="133"/>
    </row>
    <row r="43" spans="1:5" s="8" customFormat="1" x14ac:dyDescent="0.25">
      <c r="A43" s="3"/>
      <c r="B43" s="10"/>
      <c r="C43" s="3"/>
      <c r="D43" s="133"/>
      <c r="E43" s="133"/>
    </row>
    <row r="44" spans="1:5" s="8" customFormat="1" x14ac:dyDescent="0.25">
      <c r="A44" s="3"/>
      <c r="B44" s="10"/>
      <c r="C44" s="3"/>
      <c r="D44" s="133"/>
      <c r="E44" s="133"/>
    </row>
    <row r="45" spans="1:5" s="8" customFormat="1" x14ac:dyDescent="0.25">
      <c r="A45" s="3"/>
      <c r="B45" s="10"/>
      <c r="C45" s="3"/>
      <c r="D45" s="133"/>
      <c r="E45" s="133"/>
    </row>
    <row r="46" spans="1:5" s="8" customFormat="1" x14ac:dyDescent="0.25">
      <c r="A46" s="3"/>
      <c r="B46" s="10"/>
      <c r="C46" s="3"/>
      <c r="D46" s="133"/>
      <c r="E46" s="133"/>
    </row>
    <row r="47" spans="1:5" s="8" customFormat="1" x14ac:dyDescent="0.25">
      <c r="A47" s="3"/>
      <c r="B47" s="10"/>
      <c r="C47" s="3"/>
      <c r="D47" s="133"/>
      <c r="E47" s="133"/>
    </row>
    <row r="48" spans="1:5" s="8" customFormat="1" x14ac:dyDescent="0.25">
      <c r="A48" s="3"/>
      <c r="B48" s="10"/>
      <c r="C48" s="3"/>
      <c r="D48" s="133"/>
      <c r="E48" s="133"/>
    </row>
    <row r="49" spans="1:5" s="8" customFormat="1" x14ac:dyDescent="0.25">
      <c r="A49" s="3"/>
      <c r="B49" s="10"/>
      <c r="C49" s="3"/>
      <c r="D49" s="133"/>
      <c r="E49" s="133"/>
    </row>
    <row r="50" spans="1:5" s="8" customFormat="1" x14ac:dyDescent="0.25">
      <c r="A50" s="3"/>
      <c r="B50" s="10"/>
      <c r="C50" s="3"/>
      <c r="D50" s="133"/>
      <c r="E50" s="133"/>
    </row>
    <row r="51" spans="1:5" s="8" customFormat="1" x14ac:dyDescent="0.25">
      <c r="A51" s="3"/>
      <c r="B51" s="10"/>
      <c r="C51" s="3"/>
      <c r="D51" s="133"/>
      <c r="E51" s="133"/>
    </row>
    <row r="52" spans="1:5" s="8" customFormat="1" x14ac:dyDescent="0.25">
      <c r="A52" s="3"/>
      <c r="B52" s="10"/>
      <c r="C52" s="3"/>
      <c r="D52" s="133"/>
      <c r="E52" s="133"/>
    </row>
    <row r="53" spans="1:5" s="8" customFormat="1" x14ac:dyDescent="0.25">
      <c r="A53" s="3"/>
      <c r="B53" s="10"/>
      <c r="C53" s="3"/>
      <c r="D53" s="133"/>
      <c r="E53" s="133"/>
    </row>
    <row r="54" spans="1:5" s="8" customFormat="1" x14ac:dyDescent="0.25">
      <c r="A54" s="3"/>
      <c r="B54" s="10"/>
      <c r="C54" s="3"/>
      <c r="D54" s="133"/>
      <c r="E54" s="133"/>
    </row>
    <row r="55" spans="1:5" s="8" customFormat="1" x14ac:dyDescent="0.25">
      <c r="A55" s="3"/>
      <c r="B55" s="10"/>
      <c r="C55" s="3"/>
      <c r="D55" s="133"/>
      <c r="E55" s="133"/>
    </row>
    <row r="56" spans="1:5" s="8" customFormat="1" x14ac:dyDescent="0.25">
      <c r="A56" s="3"/>
      <c r="B56" s="10"/>
      <c r="C56" s="3"/>
      <c r="D56" s="133"/>
      <c r="E56" s="133"/>
    </row>
    <row r="57" spans="1:5" s="8" customFormat="1" x14ac:dyDescent="0.25">
      <c r="A57" s="3"/>
      <c r="B57" s="10"/>
      <c r="C57" s="3"/>
      <c r="D57" s="133"/>
      <c r="E57" s="133"/>
    </row>
    <row r="58" spans="1:5" s="8" customFormat="1" x14ac:dyDescent="0.25">
      <c r="A58" s="3"/>
      <c r="B58" s="10"/>
      <c r="C58" s="3"/>
      <c r="D58" s="133"/>
      <c r="E58" s="133"/>
    </row>
    <row r="59" spans="1:5" s="8" customFormat="1" x14ac:dyDescent="0.25">
      <c r="A59" s="3"/>
      <c r="B59" s="10"/>
      <c r="C59" s="3"/>
      <c r="D59" s="133"/>
      <c r="E59" s="133"/>
    </row>
    <row r="60" spans="1:5" s="8" customFormat="1" x14ac:dyDescent="0.25">
      <c r="A60" s="3"/>
      <c r="B60" s="10"/>
      <c r="C60" s="3"/>
      <c r="D60" s="133"/>
      <c r="E60" s="133"/>
    </row>
    <row r="61" spans="1:5" s="8" customFormat="1" x14ac:dyDescent="0.25">
      <c r="A61" s="3"/>
      <c r="B61" s="10"/>
      <c r="C61" s="3"/>
      <c r="D61" s="133"/>
      <c r="E61" s="133"/>
    </row>
    <row r="62" spans="1:5" s="8" customFormat="1" x14ac:dyDescent="0.25">
      <c r="A62" s="3"/>
      <c r="B62" s="10"/>
      <c r="C62" s="3"/>
      <c r="D62" s="133"/>
      <c r="E62" s="133"/>
    </row>
    <row r="63" spans="1:5" s="8" customFormat="1" x14ac:dyDescent="0.25">
      <c r="A63" s="3"/>
      <c r="B63" s="10"/>
      <c r="C63" s="3"/>
      <c r="D63" s="133"/>
      <c r="E63" s="133"/>
    </row>
    <row r="64" spans="1:5" s="8" customFormat="1" x14ac:dyDescent="0.25">
      <c r="A64" s="3"/>
      <c r="B64" s="10"/>
      <c r="C64" s="3"/>
      <c r="D64" s="133"/>
      <c r="E64" s="133"/>
    </row>
    <row r="65" spans="1:5" s="8" customFormat="1" x14ac:dyDescent="0.25">
      <c r="A65" s="3"/>
      <c r="B65" s="10"/>
      <c r="C65" s="3"/>
      <c r="D65" s="133"/>
      <c r="E65" s="133"/>
    </row>
    <row r="66" spans="1:5" s="8" customFormat="1" x14ac:dyDescent="0.25">
      <c r="A66" s="3"/>
      <c r="B66" s="10"/>
      <c r="C66" s="3"/>
      <c r="D66" s="133"/>
      <c r="E66" s="133"/>
    </row>
    <row r="67" spans="1:5" s="8" customFormat="1" x14ac:dyDescent="0.25">
      <c r="A67" s="3"/>
      <c r="B67" s="10"/>
      <c r="C67" s="3"/>
      <c r="D67" s="133"/>
      <c r="E67" s="133"/>
    </row>
    <row r="68" spans="1:5" s="8" customFormat="1" x14ac:dyDescent="0.25">
      <c r="A68" s="3"/>
      <c r="B68" s="10"/>
      <c r="C68" s="3"/>
      <c r="D68" s="133"/>
      <c r="E68" s="133"/>
    </row>
    <row r="69" spans="1:5" s="8" customFormat="1" x14ac:dyDescent="0.25">
      <c r="A69" s="3"/>
      <c r="B69" s="10"/>
      <c r="C69" s="3"/>
      <c r="D69" s="133"/>
      <c r="E69" s="133"/>
    </row>
    <row r="70" spans="1:5" s="8" customFormat="1" x14ac:dyDescent="0.25">
      <c r="A70" s="3"/>
      <c r="B70" s="10"/>
      <c r="C70" s="3"/>
      <c r="D70" s="133"/>
      <c r="E70" s="133"/>
    </row>
    <row r="71" spans="1:5" s="8" customFormat="1" x14ac:dyDescent="0.25">
      <c r="A71" s="3"/>
      <c r="B71" s="10"/>
      <c r="C71" s="3"/>
      <c r="D71" s="133"/>
      <c r="E71" s="133"/>
    </row>
    <row r="72" spans="1:5" s="8" customFormat="1" x14ac:dyDescent="0.25">
      <c r="A72" s="3"/>
      <c r="B72" s="10"/>
      <c r="C72" s="3"/>
      <c r="D72" s="133"/>
      <c r="E72" s="133"/>
    </row>
    <row r="73" spans="1:5" s="8" customFormat="1" x14ac:dyDescent="0.25">
      <c r="A73" s="3"/>
      <c r="B73" s="10"/>
      <c r="C73" s="3"/>
      <c r="D73" s="133"/>
      <c r="E73" s="133"/>
    </row>
    <row r="74" spans="1:5" s="8" customFormat="1" x14ac:dyDescent="0.25">
      <c r="A74" s="3"/>
      <c r="B74" s="10"/>
      <c r="C74" s="3"/>
      <c r="D74" s="133"/>
      <c r="E74" s="133"/>
    </row>
    <row r="75" spans="1:5" s="8" customFormat="1" x14ac:dyDescent="0.25">
      <c r="A75" s="3"/>
      <c r="B75" s="10"/>
      <c r="C75" s="3"/>
      <c r="D75" s="133"/>
      <c r="E75" s="133"/>
    </row>
    <row r="76" spans="1:5" s="8" customFormat="1" x14ac:dyDescent="0.25">
      <c r="A76" s="3"/>
      <c r="B76" s="10"/>
      <c r="C76" s="3"/>
      <c r="D76" s="133"/>
      <c r="E76" s="133"/>
    </row>
    <row r="77" spans="1:5" s="8" customFormat="1" x14ac:dyDescent="0.25">
      <c r="A77" s="3"/>
      <c r="B77" s="10"/>
      <c r="C77" s="3"/>
      <c r="D77" s="133"/>
      <c r="E77" s="133"/>
    </row>
    <row r="78" spans="1:5" s="8" customFormat="1" x14ac:dyDescent="0.25">
      <c r="A78" s="3"/>
      <c r="B78" s="10"/>
      <c r="C78" s="3"/>
      <c r="D78" s="133"/>
      <c r="E78" s="133"/>
    </row>
    <row r="79" spans="1:5" s="8" customFormat="1" x14ac:dyDescent="0.25">
      <c r="A79" s="3"/>
      <c r="B79" s="10"/>
      <c r="C79" s="3"/>
      <c r="D79" s="133"/>
      <c r="E79" s="133"/>
    </row>
    <row r="80" spans="1:5" s="8" customFormat="1" x14ac:dyDescent="0.25">
      <c r="A80" s="3"/>
      <c r="B80" s="10"/>
      <c r="C80" s="3"/>
      <c r="D80" s="133"/>
      <c r="E80" s="133"/>
    </row>
    <row r="81" spans="1:5" s="8" customFormat="1" x14ac:dyDescent="0.25">
      <c r="A81" s="3"/>
      <c r="B81" s="10"/>
      <c r="C81" s="3"/>
      <c r="D81" s="133"/>
      <c r="E81" s="133"/>
    </row>
    <row r="82" spans="1:5" s="8" customFormat="1" x14ac:dyDescent="0.25">
      <c r="A82" s="3"/>
      <c r="B82" s="10"/>
      <c r="C82" s="3"/>
      <c r="D82" s="133"/>
      <c r="E82" s="133"/>
    </row>
    <row r="83" spans="1:5" s="8" customFormat="1" x14ac:dyDescent="0.25">
      <c r="A83" s="3"/>
      <c r="B83" s="10"/>
      <c r="C83" s="3"/>
      <c r="D83" s="133"/>
      <c r="E83" s="133"/>
    </row>
    <row r="84" spans="1:5" s="8" customFormat="1" x14ac:dyDescent="0.25">
      <c r="A84" s="3"/>
      <c r="B84" s="10"/>
      <c r="C84" s="3"/>
      <c r="D84" s="133"/>
      <c r="E84" s="133"/>
    </row>
    <row r="85" spans="1:5" s="8" customFormat="1" x14ac:dyDescent="0.25">
      <c r="A85" s="3"/>
      <c r="B85" s="10"/>
      <c r="C85" s="3"/>
      <c r="D85" s="133"/>
      <c r="E85" s="133"/>
    </row>
    <row r="86" spans="1:5" s="8" customFormat="1" x14ac:dyDescent="0.25">
      <c r="A86" s="3"/>
      <c r="B86" s="10"/>
      <c r="C86" s="3"/>
      <c r="D86" s="133"/>
      <c r="E86" s="133"/>
    </row>
    <row r="87" spans="1:5" s="8" customFormat="1" x14ac:dyDescent="0.25">
      <c r="A87" s="3"/>
      <c r="B87" s="10"/>
      <c r="C87" s="3"/>
      <c r="D87" s="133"/>
      <c r="E87" s="133"/>
    </row>
    <row r="88" spans="1:5" s="8" customFormat="1" x14ac:dyDescent="0.25">
      <c r="A88" s="3"/>
      <c r="B88" s="10"/>
      <c r="C88" s="3"/>
      <c r="D88" s="133"/>
      <c r="E88" s="133"/>
    </row>
    <row r="89" spans="1:5" s="8" customFormat="1" x14ac:dyDescent="0.25">
      <c r="A89" s="3"/>
      <c r="B89" s="10"/>
      <c r="C89" s="3"/>
      <c r="D89" s="133"/>
      <c r="E89" s="133"/>
    </row>
    <row r="90" spans="1:5" s="8" customFormat="1" x14ac:dyDescent="0.25">
      <c r="A90" s="3"/>
      <c r="B90" s="10"/>
      <c r="C90" s="3"/>
      <c r="D90" s="133"/>
      <c r="E90" s="133"/>
    </row>
    <row r="91" spans="1:5" s="8" customFormat="1" x14ac:dyDescent="0.25">
      <c r="A91" s="3"/>
      <c r="B91" s="10"/>
      <c r="C91" s="3"/>
      <c r="D91" s="133"/>
      <c r="E91" s="133"/>
    </row>
    <row r="92" spans="1:5" s="8" customFormat="1" x14ac:dyDescent="0.25">
      <c r="A92" s="3"/>
      <c r="B92" s="10"/>
      <c r="C92" s="3"/>
      <c r="D92" s="133"/>
      <c r="E92" s="133"/>
    </row>
    <row r="93" spans="1:5" s="8" customFormat="1" x14ac:dyDescent="0.25">
      <c r="A93" s="3"/>
      <c r="B93" s="10"/>
      <c r="C93" s="3"/>
      <c r="D93" s="133"/>
      <c r="E93" s="133"/>
    </row>
    <row r="94" spans="1:5" s="8" customFormat="1" x14ac:dyDescent="0.25">
      <c r="A94" s="3"/>
      <c r="B94" s="10"/>
      <c r="C94" s="3"/>
      <c r="D94" s="133"/>
      <c r="E94" s="133"/>
    </row>
    <row r="95" spans="1:5" s="8" customFormat="1" x14ac:dyDescent="0.25">
      <c r="A95" s="3"/>
      <c r="B95" s="10"/>
      <c r="C95" s="3"/>
      <c r="D95" s="133"/>
      <c r="E95" s="133"/>
    </row>
    <row r="96" spans="1:5" s="8" customFormat="1" x14ac:dyDescent="0.25">
      <c r="A96" s="3"/>
      <c r="B96" s="10"/>
      <c r="C96" s="3"/>
      <c r="D96" s="133"/>
      <c r="E96" s="133"/>
    </row>
    <row r="97" spans="1:5" s="8" customFormat="1" x14ac:dyDescent="0.25">
      <c r="A97" s="3"/>
      <c r="B97" s="10"/>
      <c r="C97" s="3"/>
      <c r="D97" s="133"/>
      <c r="E97" s="133"/>
    </row>
    <row r="98" spans="1:5" s="8" customFormat="1" x14ac:dyDescent="0.25">
      <c r="A98" s="3"/>
      <c r="B98" s="10"/>
      <c r="C98" s="3"/>
      <c r="D98" s="133"/>
      <c r="E98" s="133"/>
    </row>
    <row r="99" spans="1:5" s="8" customFormat="1" x14ac:dyDescent="0.25">
      <c r="A99" s="3"/>
      <c r="B99" s="10"/>
      <c r="C99" s="3"/>
      <c r="D99" s="133"/>
      <c r="E99" s="133"/>
    </row>
    <row r="100" spans="1:5" s="8" customFormat="1" x14ac:dyDescent="0.25">
      <c r="A100" s="3"/>
      <c r="B100" s="10"/>
      <c r="C100" s="3"/>
      <c r="D100" s="133"/>
      <c r="E100" s="133"/>
    </row>
    <row r="101" spans="1:5" s="8" customFormat="1" x14ac:dyDescent="0.25">
      <c r="A101" s="3"/>
      <c r="B101" s="10"/>
      <c r="C101" s="3"/>
      <c r="D101" s="133"/>
      <c r="E101" s="133"/>
    </row>
    <row r="102" spans="1:5" s="8" customFormat="1" x14ac:dyDescent="0.25">
      <c r="A102" s="3"/>
      <c r="B102" s="10"/>
      <c r="C102" s="3"/>
      <c r="D102" s="133"/>
      <c r="E102" s="133"/>
    </row>
    <row r="103" spans="1:5" s="8" customFormat="1" x14ac:dyDescent="0.25">
      <c r="A103" s="3"/>
      <c r="B103" s="10"/>
      <c r="C103" s="3"/>
      <c r="D103" s="133"/>
      <c r="E103" s="133"/>
    </row>
    <row r="104" spans="1:5" s="8" customFormat="1" x14ac:dyDescent="0.25">
      <c r="A104" s="3"/>
      <c r="B104" s="10"/>
      <c r="C104" s="3"/>
      <c r="D104" s="133"/>
      <c r="E104" s="133"/>
    </row>
    <row r="105" spans="1:5" s="8" customFormat="1" x14ac:dyDescent="0.25">
      <c r="A105" s="3"/>
      <c r="B105" s="10"/>
      <c r="C105" s="3"/>
      <c r="D105" s="133"/>
      <c r="E105" s="133"/>
    </row>
    <row r="106" spans="1:5" s="8" customFormat="1" x14ac:dyDescent="0.25">
      <c r="A106" s="3"/>
      <c r="B106" s="10"/>
      <c r="C106" s="3"/>
      <c r="D106" s="133"/>
      <c r="E106" s="133"/>
    </row>
    <row r="107" spans="1:5" s="8" customFormat="1" x14ac:dyDescent="0.25">
      <c r="A107" s="3"/>
      <c r="B107" s="10"/>
      <c r="C107" s="3"/>
      <c r="D107" s="133"/>
      <c r="E107" s="133"/>
    </row>
    <row r="108" spans="1:5" s="8" customFormat="1" x14ac:dyDescent="0.25">
      <c r="A108" s="3"/>
      <c r="B108" s="10"/>
      <c r="C108" s="3"/>
      <c r="D108" s="133"/>
      <c r="E108" s="133"/>
    </row>
    <row r="109" spans="1:5" s="8" customFormat="1" x14ac:dyDescent="0.25">
      <c r="A109" s="3"/>
      <c r="B109" s="10"/>
      <c r="C109" s="3"/>
      <c r="D109" s="133"/>
      <c r="E109" s="133"/>
    </row>
    <row r="110" spans="1:5" s="8" customFormat="1" x14ac:dyDescent="0.25">
      <c r="A110" s="3"/>
      <c r="B110" s="10"/>
      <c r="C110" s="3"/>
      <c r="D110" s="133"/>
      <c r="E110" s="133"/>
    </row>
    <row r="111" spans="1:5" s="8" customFormat="1" x14ac:dyDescent="0.25">
      <c r="A111" s="3"/>
      <c r="B111" s="10"/>
      <c r="C111" s="3"/>
      <c r="D111" s="133"/>
      <c r="E111" s="133"/>
    </row>
    <row r="112" spans="1:5" s="8" customFormat="1" x14ac:dyDescent="0.25">
      <c r="A112" s="3"/>
      <c r="B112" s="10"/>
      <c r="C112" s="3"/>
      <c r="D112" s="133"/>
      <c r="E112" s="133"/>
    </row>
    <row r="113" spans="1:5" s="8" customFormat="1" x14ac:dyDescent="0.25">
      <c r="A113" s="3"/>
      <c r="B113" s="10"/>
      <c r="C113" s="3"/>
      <c r="D113" s="133"/>
      <c r="E113" s="133"/>
    </row>
    <row r="114" spans="1:5" s="8" customFormat="1" x14ac:dyDescent="0.25">
      <c r="A114" s="3"/>
      <c r="B114" s="10"/>
      <c r="C114" s="3"/>
      <c r="D114" s="133"/>
      <c r="E114" s="133"/>
    </row>
    <row r="115" spans="1:5" s="8" customFormat="1" x14ac:dyDescent="0.25">
      <c r="A115" s="3"/>
      <c r="B115" s="10"/>
      <c r="C115" s="3"/>
      <c r="D115" s="133"/>
      <c r="E115" s="133"/>
    </row>
    <row r="116" spans="1:5" s="8" customFormat="1" x14ac:dyDescent="0.25">
      <c r="A116" s="3"/>
      <c r="B116" s="10"/>
      <c r="C116" s="3"/>
      <c r="D116" s="133"/>
      <c r="E116" s="133"/>
    </row>
    <row r="117" spans="1:5" s="8" customFormat="1" x14ac:dyDescent="0.25">
      <c r="A117" s="3"/>
      <c r="B117" s="10"/>
      <c r="C117" s="3"/>
      <c r="D117" s="133"/>
      <c r="E117" s="133"/>
    </row>
    <row r="118" spans="1:5" s="8" customFormat="1" x14ac:dyDescent="0.25">
      <c r="A118" s="3"/>
      <c r="B118" s="10"/>
      <c r="C118" s="3"/>
      <c r="D118" s="133"/>
      <c r="E118" s="133"/>
    </row>
    <row r="119" spans="1:5" s="8" customFormat="1" x14ac:dyDescent="0.25">
      <c r="A119" s="3"/>
      <c r="B119" s="10"/>
      <c r="C119" s="3"/>
      <c r="D119" s="133"/>
      <c r="E119" s="133"/>
    </row>
    <row r="120" spans="1:5" s="8" customFormat="1" x14ac:dyDescent="0.25">
      <c r="A120" s="3"/>
      <c r="B120" s="10"/>
      <c r="C120" s="3"/>
      <c r="D120" s="133"/>
      <c r="E120" s="133"/>
    </row>
    <row r="121" spans="1:5" s="8" customFormat="1" x14ac:dyDescent="0.25">
      <c r="A121" s="3"/>
      <c r="B121" s="10"/>
      <c r="C121" s="3"/>
      <c r="D121" s="133"/>
      <c r="E121" s="133"/>
    </row>
    <row r="122" spans="1:5" s="8" customFormat="1" x14ac:dyDescent="0.25">
      <c r="A122" s="3"/>
      <c r="B122" s="10"/>
      <c r="C122" s="3"/>
      <c r="D122" s="133"/>
      <c r="E122" s="133"/>
    </row>
    <row r="123" spans="1:5" s="8" customFormat="1" x14ac:dyDescent="0.25">
      <c r="A123" s="3"/>
      <c r="B123" s="10"/>
      <c r="C123" s="3"/>
      <c r="D123" s="133"/>
      <c r="E123" s="133"/>
    </row>
    <row r="124" spans="1:5" s="8" customFormat="1" x14ac:dyDescent="0.25">
      <c r="A124" s="3"/>
      <c r="B124" s="10"/>
      <c r="C124" s="3"/>
      <c r="D124" s="133"/>
      <c r="E124" s="133"/>
    </row>
    <row r="125" spans="1:5" s="8" customFormat="1" x14ac:dyDescent="0.25">
      <c r="A125" s="3"/>
      <c r="B125" s="10"/>
      <c r="C125" s="3"/>
      <c r="D125" s="133"/>
      <c r="E125" s="133"/>
    </row>
    <row r="126" spans="1:5" s="8" customFormat="1" x14ac:dyDescent="0.25">
      <c r="A126" s="3"/>
      <c r="B126" s="10"/>
      <c r="C126" s="3"/>
      <c r="D126" s="133"/>
      <c r="E126" s="133"/>
    </row>
    <row r="127" spans="1:5" s="8" customFormat="1" x14ac:dyDescent="0.25">
      <c r="A127" s="3"/>
      <c r="B127" s="10"/>
      <c r="C127" s="3"/>
      <c r="D127" s="133"/>
      <c r="E127" s="133"/>
    </row>
    <row r="128" spans="1:5" s="8" customFormat="1" x14ac:dyDescent="0.25">
      <c r="A128" s="3"/>
      <c r="B128" s="10"/>
      <c r="C128" s="3"/>
      <c r="D128" s="133"/>
      <c r="E128" s="133"/>
    </row>
    <row r="129" spans="1:5" s="8" customFormat="1" x14ac:dyDescent="0.25">
      <c r="A129" s="3"/>
      <c r="B129" s="10"/>
      <c r="C129" s="3"/>
      <c r="D129" s="133"/>
      <c r="E129" s="133"/>
    </row>
    <row r="130" spans="1:5" s="8" customFormat="1" x14ac:dyDescent="0.25">
      <c r="A130" s="3"/>
      <c r="B130" s="10"/>
      <c r="C130" s="3"/>
      <c r="D130" s="133"/>
      <c r="E130" s="133"/>
    </row>
    <row r="131" spans="1:5" s="8" customFormat="1" x14ac:dyDescent="0.25">
      <c r="A131" s="3"/>
      <c r="B131" s="10"/>
      <c r="C131" s="3"/>
      <c r="D131" s="133"/>
      <c r="E131" s="133"/>
    </row>
    <row r="132" spans="1:5" s="8" customFormat="1" x14ac:dyDescent="0.25">
      <c r="A132" s="3"/>
      <c r="B132" s="10"/>
      <c r="C132" s="3"/>
      <c r="D132" s="133"/>
      <c r="E132" s="133"/>
    </row>
    <row r="133" spans="1:5" s="8" customFormat="1" x14ac:dyDescent="0.25">
      <c r="A133" s="3"/>
      <c r="B133" s="10"/>
      <c r="C133" s="3"/>
      <c r="D133" s="133"/>
      <c r="E133" s="133"/>
    </row>
    <row r="134" spans="1:5" s="8" customFormat="1" x14ac:dyDescent="0.25">
      <c r="A134" s="3"/>
      <c r="B134" s="10"/>
      <c r="C134" s="3"/>
      <c r="D134" s="133"/>
      <c r="E134" s="133"/>
    </row>
    <row r="135" spans="1:5" s="8" customFormat="1" x14ac:dyDescent="0.25">
      <c r="A135" s="3"/>
      <c r="B135" s="10"/>
      <c r="C135" s="3"/>
      <c r="D135" s="133"/>
      <c r="E135" s="133"/>
    </row>
    <row r="136" spans="1:5" s="8" customFormat="1" x14ac:dyDescent="0.25">
      <c r="A136" s="3"/>
      <c r="B136" s="10"/>
      <c r="C136" s="3"/>
      <c r="D136" s="133"/>
      <c r="E136" s="133"/>
    </row>
    <row r="137" spans="1:5" s="8" customFormat="1" x14ac:dyDescent="0.25">
      <c r="A137" s="3"/>
      <c r="B137" s="10"/>
      <c r="C137" s="3"/>
      <c r="D137" s="133"/>
      <c r="E137" s="133"/>
    </row>
    <row r="138" spans="1:5" s="8" customFormat="1" x14ac:dyDescent="0.25">
      <c r="A138" s="3"/>
      <c r="B138" s="10"/>
      <c r="C138" s="3"/>
      <c r="D138" s="133"/>
      <c r="E138" s="133"/>
    </row>
    <row r="139" spans="1:5" s="8" customFormat="1" x14ac:dyDescent="0.25">
      <c r="A139" s="3"/>
      <c r="B139" s="10"/>
      <c r="C139" s="3"/>
      <c r="D139" s="133"/>
      <c r="E139" s="133"/>
    </row>
    <row r="140" spans="1:5" s="8" customFormat="1" x14ac:dyDescent="0.25">
      <c r="A140" s="3"/>
      <c r="B140" s="10"/>
      <c r="C140" s="3"/>
      <c r="D140" s="133"/>
      <c r="E140" s="133"/>
    </row>
    <row r="141" spans="1:5" s="8" customFormat="1" x14ac:dyDescent="0.25">
      <c r="A141" s="3"/>
      <c r="B141" s="10"/>
      <c r="C141" s="3"/>
      <c r="D141" s="133"/>
      <c r="E141" s="133"/>
    </row>
    <row r="142" spans="1:5" s="8" customFormat="1" x14ac:dyDescent="0.25">
      <c r="A142" s="3"/>
      <c r="B142" s="10"/>
      <c r="C142" s="3"/>
      <c r="D142" s="133"/>
      <c r="E142" s="133"/>
    </row>
    <row r="143" spans="1:5" s="8" customFormat="1" x14ac:dyDescent="0.25">
      <c r="A143" s="3"/>
      <c r="B143" s="10"/>
      <c r="C143" s="3"/>
      <c r="D143" s="133"/>
      <c r="E143" s="133"/>
    </row>
    <row r="144" spans="1:5" s="8" customFormat="1" x14ac:dyDescent="0.25">
      <c r="A144" s="3"/>
      <c r="B144" s="10"/>
      <c r="C144" s="3"/>
      <c r="D144" s="133"/>
      <c r="E144" s="133"/>
    </row>
    <row r="145" spans="1:5" s="8" customFormat="1" x14ac:dyDescent="0.25">
      <c r="A145" s="3"/>
      <c r="B145" s="10"/>
      <c r="C145" s="3"/>
      <c r="D145" s="133"/>
      <c r="E145" s="133"/>
    </row>
    <row r="146" spans="1:5" s="8" customFormat="1" x14ac:dyDescent="0.25">
      <c r="A146" s="3"/>
      <c r="B146" s="10"/>
      <c r="C146" s="3"/>
      <c r="D146" s="133"/>
      <c r="E146" s="133"/>
    </row>
    <row r="147" spans="1:5" s="8" customFormat="1" x14ac:dyDescent="0.25">
      <c r="A147" s="3"/>
      <c r="B147" s="10"/>
      <c r="C147" s="3"/>
      <c r="D147" s="133"/>
      <c r="E147" s="133"/>
    </row>
    <row r="148" spans="1:5" s="8" customFormat="1" x14ac:dyDescent="0.25">
      <c r="A148" s="3"/>
      <c r="B148" s="10"/>
      <c r="C148" s="3"/>
      <c r="D148" s="133"/>
      <c r="E148" s="133"/>
    </row>
    <row r="149" spans="1:5" s="8" customFormat="1" x14ac:dyDescent="0.25">
      <c r="A149" s="3"/>
      <c r="B149" s="10"/>
      <c r="C149" s="3"/>
      <c r="D149" s="133"/>
      <c r="E149" s="133"/>
    </row>
    <row r="150" spans="1:5" s="8" customFormat="1" x14ac:dyDescent="0.25">
      <c r="A150" s="3"/>
      <c r="B150" s="10"/>
      <c r="C150" s="3"/>
      <c r="D150" s="133"/>
      <c r="E150" s="133"/>
    </row>
    <row r="151" spans="1:5" s="8" customFormat="1" x14ac:dyDescent="0.25">
      <c r="A151" s="3"/>
      <c r="B151" s="10"/>
      <c r="C151" s="3"/>
      <c r="D151" s="133"/>
      <c r="E151" s="133"/>
    </row>
    <row r="152" spans="1:5" s="8" customFormat="1" x14ac:dyDescent="0.25">
      <c r="A152" s="3"/>
      <c r="B152" s="10"/>
      <c r="C152" s="3"/>
      <c r="D152" s="133"/>
      <c r="E152" s="133"/>
    </row>
    <row r="153" spans="1:5" s="8" customFormat="1" x14ac:dyDescent="0.25">
      <c r="A153" s="3"/>
      <c r="B153" s="10"/>
      <c r="C153" s="3"/>
      <c r="D153" s="133"/>
      <c r="E153" s="133"/>
    </row>
    <row r="154" spans="1:5" s="8" customFormat="1" x14ac:dyDescent="0.25">
      <c r="A154" s="3"/>
      <c r="B154" s="10"/>
      <c r="C154" s="3"/>
      <c r="D154" s="133"/>
      <c r="E154" s="133"/>
    </row>
    <row r="155" spans="1:5" s="8" customFormat="1" x14ac:dyDescent="0.25">
      <c r="A155" s="3"/>
      <c r="B155" s="10"/>
      <c r="C155" s="3"/>
      <c r="D155" s="133"/>
      <c r="E155" s="133"/>
    </row>
    <row r="156" spans="1:5" s="8" customFormat="1" x14ac:dyDescent="0.25">
      <c r="A156" s="3"/>
      <c r="B156" s="10"/>
      <c r="C156" s="3"/>
      <c r="D156" s="133"/>
      <c r="E156" s="133"/>
    </row>
    <row r="157" spans="1:5" s="8" customFormat="1" x14ac:dyDescent="0.25">
      <c r="A157" s="3"/>
      <c r="B157" s="10"/>
      <c r="C157" s="3"/>
      <c r="D157" s="133"/>
      <c r="E157" s="133"/>
    </row>
    <row r="158" spans="1:5" s="8" customFormat="1" x14ac:dyDescent="0.25">
      <c r="A158" s="3"/>
      <c r="B158" s="10"/>
      <c r="C158" s="3"/>
      <c r="D158" s="133"/>
      <c r="E158" s="133"/>
    </row>
    <row r="159" spans="1:5" s="8" customFormat="1" x14ac:dyDescent="0.25">
      <c r="A159" s="3"/>
      <c r="B159" s="10"/>
      <c r="C159" s="3"/>
      <c r="D159" s="133"/>
      <c r="E159" s="133"/>
    </row>
    <row r="160" spans="1:5" s="8" customFormat="1" x14ac:dyDescent="0.25">
      <c r="A160" s="3"/>
      <c r="B160" s="10"/>
      <c r="C160" s="3"/>
      <c r="D160" s="133"/>
      <c r="E160" s="133"/>
    </row>
    <row r="161" spans="1:5" s="8" customFormat="1" x14ac:dyDescent="0.25">
      <c r="A161" s="3"/>
      <c r="B161" s="10"/>
      <c r="C161" s="3"/>
      <c r="D161" s="133"/>
      <c r="E161" s="133"/>
    </row>
    <row r="162" spans="1:5" s="8" customFormat="1" x14ac:dyDescent="0.25">
      <c r="A162" s="3"/>
      <c r="B162" s="10"/>
      <c r="C162" s="3"/>
      <c r="D162" s="133"/>
      <c r="E162" s="133"/>
    </row>
    <row r="163" spans="1:5" s="8" customFormat="1" x14ac:dyDescent="0.25">
      <c r="A163" s="3"/>
      <c r="B163" s="10"/>
      <c r="C163" s="3"/>
      <c r="D163" s="133"/>
      <c r="E163" s="133"/>
    </row>
    <row r="164" spans="1:5" s="8" customFormat="1" x14ac:dyDescent="0.25">
      <c r="A164" s="3"/>
      <c r="B164" s="10"/>
      <c r="C164" s="3"/>
      <c r="D164" s="133"/>
      <c r="E164" s="133"/>
    </row>
    <row r="165" spans="1:5" s="8" customFormat="1" x14ac:dyDescent="0.25">
      <c r="A165" s="3"/>
      <c r="B165" s="10"/>
      <c r="C165" s="3"/>
      <c r="D165" s="133"/>
      <c r="E165" s="133"/>
    </row>
    <row r="166" spans="1:5" s="8" customFormat="1" x14ac:dyDescent="0.25">
      <c r="A166" s="3"/>
      <c r="B166" s="10"/>
      <c r="C166" s="3"/>
      <c r="D166" s="133"/>
      <c r="E166" s="133"/>
    </row>
    <row r="167" spans="1:5" s="8" customFormat="1" x14ac:dyDescent="0.25">
      <c r="A167" s="3"/>
      <c r="B167" s="10"/>
      <c r="C167" s="3"/>
      <c r="D167" s="133"/>
      <c r="E167" s="133"/>
    </row>
    <row r="168" spans="1:5" s="8" customFormat="1" x14ac:dyDescent="0.25">
      <c r="A168" s="3"/>
      <c r="B168" s="10"/>
      <c r="C168" s="3"/>
      <c r="D168" s="133"/>
      <c r="E168" s="133"/>
    </row>
    <row r="169" spans="1:5" s="8" customFormat="1" x14ac:dyDescent="0.25">
      <c r="A169" s="3"/>
      <c r="B169" s="10"/>
      <c r="C169" s="3"/>
      <c r="D169" s="133"/>
      <c r="E169" s="133"/>
    </row>
    <row r="170" spans="1:5" s="8" customFormat="1" x14ac:dyDescent="0.25">
      <c r="A170" s="3"/>
      <c r="B170" s="10"/>
      <c r="C170" s="3"/>
      <c r="D170" s="133"/>
      <c r="E170" s="133"/>
    </row>
    <row r="171" spans="1:5" s="8" customFormat="1" x14ac:dyDescent="0.25">
      <c r="A171" s="3"/>
      <c r="B171" s="10"/>
      <c r="C171" s="3"/>
      <c r="D171" s="133"/>
      <c r="E171" s="133"/>
    </row>
    <row r="172" spans="1:5" s="8" customFormat="1" x14ac:dyDescent="0.25">
      <c r="A172" s="3"/>
      <c r="B172" s="10"/>
      <c r="C172" s="3"/>
      <c r="D172" s="133"/>
      <c r="E172" s="133"/>
    </row>
    <row r="173" spans="1:5" s="8" customFormat="1" x14ac:dyDescent="0.25">
      <c r="A173" s="3"/>
      <c r="B173" s="10"/>
      <c r="C173" s="3"/>
      <c r="D173" s="133"/>
      <c r="E173" s="133"/>
    </row>
    <row r="174" spans="1:5" s="8" customFormat="1" x14ac:dyDescent="0.25">
      <c r="A174" s="3"/>
      <c r="B174" s="10"/>
      <c r="C174" s="3"/>
      <c r="D174" s="133"/>
      <c r="E174" s="133"/>
    </row>
    <row r="175" spans="1:5" s="8" customFormat="1" x14ac:dyDescent="0.25">
      <c r="A175" s="3"/>
      <c r="B175" s="10"/>
      <c r="C175" s="3"/>
      <c r="D175" s="133"/>
      <c r="E175" s="133"/>
    </row>
    <row r="176" spans="1:5" s="8" customFormat="1" x14ac:dyDescent="0.25">
      <c r="A176" s="3"/>
      <c r="B176" s="10"/>
      <c r="C176" s="3"/>
      <c r="D176" s="133"/>
      <c r="E176" s="133"/>
    </row>
    <row r="177" spans="1:5" s="8" customFormat="1" x14ac:dyDescent="0.25">
      <c r="A177" s="3"/>
      <c r="B177" s="10"/>
      <c r="C177" s="3"/>
      <c r="D177" s="133"/>
      <c r="E177" s="133"/>
    </row>
    <row r="178" spans="1:5" s="8" customFormat="1" x14ac:dyDescent="0.25">
      <c r="A178" s="3"/>
      <c r="B178" s="10"/>
      <c r="C178" s="3"/>
      <c r="D178" s="133"/>
      <c r="E178" s="133"/>
    </row>
    <row r="179" spans="1:5" s="8" customFormat="1" x14ac:dyDescent="0.25">
      <c r="A179" s="3"/>
      <c r="B179" s="10"/>
      <c r="C179" s="3"/>
      <c r="D179" s="133"/>
      <c r="E179" s="133"/>
    </row>
    <row r="180" spans="1:5" s="8" customFormat="1" x14ac:dyDescent="0.25">
      <c r="A180" s="3"/>
      <c r="B180" s="10"/>
      <c r="C180" s="3"/>
      <c r="D180" s="133"/>
      <c r="E180" s="133"/>
    </row>
    <row r="181" spans="1:5" s="8" customFormat="1" x14ac:dyDescent="0.25">
      <c r="A181" s="3"/>
      <c r="B181" s="10"/>
      <c r="C181" s="3"/>
      <c r="D181" s="133"/>
      <c r="E181" s="133"/>
    </row>
    <row r="182" spans="1:5" s="8" customFormat="1" x14ac:dyDescent="0.25">
      <c r="A182" s="3"/>
      <c r="B182" s="10"/>
      <c r="C182" s="3"/>
      <c r="D182" s="133"/>
      <c r="E182" s="133"/>
    </row>
    <row r="183" spans="1:5" s="8" customFormat="1" x14ac:dyDescent="0.25">
      <c r="A183" s="3"/>
      <c r="B183" s="10"/>
      <c r="C183" s="3"/>
      <c r="D183" s="133"/>
      <c r="E183" s="133"/>
    </row>
    <row r="184" spans="1:5" s="8" customFormat="1" x14ac:dyDescent="0.25">
      <c r="A184" s="3"/>
      <c r="B184" s="10"/>
      <c r="C184" s="3"/>
      <c r="D184" s="133"/>
      <c r="E184" s="133"/>
    </row>
    <row r="185" spans="1:5" s="8" customFormat="1" x14ac:dyDescent="0.25">
      <c r="A185" s="3"/>
      <c r="B185" s="10"/>
      <c r="C185" s="3"/>
      <c r="D185" s="133"/>
      <c r="E185" s="133"/>
    </row>
    <row r="186" spans="1:5" s="8" customFormat="1" x14ac:dyDescent="0.25">
      <c r="A186" s="3"/>
      <c r="B186" s="10"/>
      <c r="C186" s="3"/>
      <c r="D186" s="133"/>
      <c r="E186" s="133"/>
    </row>
    <row r="187" spans="1:5" s="8" customFormat="1" x14ac:dyDescent="0.25">
      <c r="A187" s="3"/>
      <c r="B187" s="10"/>
      <c r="C187" s="3"/>
      <c r="D187" s="133"/>
      <c r="E187" s="133"/>
    </row>
    <row r="188" spans="1:5" s="8" customFormat="1" x14ac:dyDescent="0.25">
      <c r="A188" s="3"/>
      <c r="B188" s="10"/>
      <c r="C188" s="3"/>
      <c r="D188" s="133"/>
      <c r="E188" s="133"/>
    </row>
    <row r="189" spans="1:5" s="8" customFormat="1" x14ac:dyDescent="0.25">
      <c r="A189" s="3"/>
      <c r="B189" s="10"/>
      <c r="C189" s="3"/>
      <c r="D189" s="133"/>
      <c r="E189" s="133"/>
    </row>
    <row r="190" spans="1:5" s="8" customFormat="1" x14ac:dyDescent="0.25">
      <c r="A190" s="3"/>
      <c r="B190" s="10"/>
      <c r="C190" s="3"/>
      <c r="D190" s="133"/>
      <c r="E190" s="133"/>
    </row>
    <row r="191" spans="1:5" s="8" customFormat="1" x14ac:dyDescent="0.25">
      <c r="A191" s="3"/>
      <c r="B191" s="10"/>
      <c r="C191" s="3"/>
      <c r="D191" s="133"/>
      <c r="E191" s="133"/>
    </row>
    <row r="192" spans="1:5" s="8" customFormat="1" x14ac:dyDescent="0.25">
      <c r="A192" s="3"/>
      <c r="B192" s="10"/>
      <c r="C192" s="3"/>
      <c r="D192" s="133"/>
      <c r="E192" s="133"/>
    </row>
    <row r="193" spans="1:5" s="8" customFormat="1" x14ac:dyDescent="0.25">
      <c r="A193" s="3"/>
      <c r="B193" s="10"/>
      <c r="C193" s="3"/>
      <c r="D193" s="133"/>
      <c r="E193" s="133"/>
    </row>
    <row r="194" spans="1:5" s="8" customFormat="1" x14ac:dyDescent="0.25">
      <c r="A194" s="3"/>
      <c r="B194" s="10"/>
      <c r="C194" s="3"/>
      <c r="D194" s="133"/>
      <c r="E194" s="133"/>
    </row>
    <row r="195" spans="1:5" s="8" customFormat="1" x14ac:dyDescent="0.25">
      <c r="A195" s="3"/>
      <c r="B195" s="10"/>
      <c r="C195" s="3"/>
      <c r="D195" s="133"/>
      <c r="E195" s="133"/>
    </row>
    <row r="196" spans="1:5" s="8" customFormat="1" x14ac:dyDescent="0.25">
      <c r="A196" s="3"/>
      <c r="B196" s="10"/>
      <c r="C196" s="3"/>
      <c r="D196" s="133"/>
      <c r="E196" s="133"/>
    </row>
    <row r="197" spans="1:5" s="8" customFormat="1" x14ac:dyDescent="0.25">
      <c r="A197" s="3"/>
      <c r="B197" s="10"/>
      <c r="C197" s="3"/>
      <c r="D197" s="133"/>
      <c r="E197" s="133"/>
    </row>
    <row r="198" spans="1:5" s="8" customFormat="1" x14ac:dyDescent="0.25">
      <c r="A198" s="3"/>
      <c r="B198" s="10"/>
      <c r="C198" s="3"/>
      <c r="D198" s="133"/>
      <c r="E198" s="133"/>
    </row>
    <row r="199" spans="1:5" s="8" customFormat="1" x14ac:dyDescent="0.25">
      <c r="A199" s="3"/>
      <c r="B199" s="10"/>
      <c r="C199" s="3"/>
      <c r="D199" s="133"/>
      <c r="E199" s="133"/>
    </row>
    <row r="200" spans="1:5" s="8" customFormat="1" x14ac:dyDescent="0.25">
      <c r="A200" s="3"/>
      <c r="B200" s="10"/>
      <c r="C200" s="3"/>
      <c r="D200" s="133"/>
      <c r="E200" s="133"/>
    </row>
    <row r="201" spans="1:5" s="8" customFormat="1" x14ac:dyDescent="0.25">
      <c r="A201" s="3"/>
      <c r="B201" s="10"/>
      <c r="C201" s="3"/>
      <c r="D201" s="133"/>
      <c r="E201" s="133"/>
    </row>
    <row r="202" spans="1:5" s="8" customFormat="1" x14ac:dyDescent="0.25">
      <c r="A202" s="3"/>
      <c r="B202" s="10"/>
      <c r="C202" s="3"/>
      <c r="D202" s="133"/>
      <c r="E202" s="133"/>
    </row>
    <row r="203" spans="1:5" s="8" customFormat="1" x14ac:dyDescent="0.25">
      <c r="A203" s="3"/>
      <c r="B203" s="10"/>
      <c r="C203" s="3"/>
      <c r="D203" s="133"/>
      <c r="E203" s="133"/>
    </row>
    <row r="204" spans="1:5" s="8" customFormat="1" x14ac:dyDescent="0.25">
      <c r="A204" s="3"/>
      <c r="B204" s="10"/>
      <c r="C204" s="3"/>
      <c r="D204" s="133"/>
      <c r="E204" s="133"/>
    </row>
    <row r="205" spans="1:5" s="8" customFormat="1" x14ac:dyDescent="0.25">
      <c r="A205" s="3"/>
      <c r="B205" s="10"/>
      <c r="C205" s="3"/>
      <c r="D205" s="133"/>
      <c r="E205" s="133"/>
    </row>
    <row r="206" spans="1:5" s="8" customFormat="1" x14ac:dyDescent="0.25">
      <c r="A206" s="3"/>
      <c r="B206" s="10"/>
      <c r="C206" s="3"/>
      <c r="D206" s="133"/>
      <c r="E206" s="133"/>
    </row>
    <row r="207" spans="1:5" s="8" customFormat="1" x14ac:dyDescent="0.25">
      <c r="A207" s="3"/>
      <c r="B207" s="10"/>
      <c r="C207" s="3"/>
      <c r="D207" s="133"/>
      <c r="E207" s="133"/>
    </row>
    <row r="208" spans="1:5" s="8" customFormat="1" x14ac:dyDescent="0.25">
      <c r="A208" s="3"/>
      <c r="B208" s="10"/>
      <c r="C208" s="3"/>
      <c r="D208" s="133"/>
      <c r="E208" s="133"/>
    </row>
    <row r="209" spans="1:5" s="8" customFormat="1" x14ac:dyDescent="0.25">
      <c r="A209" s="3"/>
      <c r="B209" s="10"/>
      <c r="C209" s="3"/>
      <c r="D209" s="133"/>
      <c r="E209" s="133"/>
    </row>
    <row r="210" spans="1:5" s="8" customFormat="1" x14ac:dyDescent="0.25">
      <c r="A210" s="3"/>
      <c r="B210" s="10"/>
      <c r="C210" s="3"/>
      <c r="D210" s="133"/>
      <c r="E210" s="133"/>
    </row>
    <row r="211" spans="1:5" s="8" customFormat="1" x14ac:dyDescent="0.25">
      <c r="A211" s="3"/>
      <c r="B211" s="10"/>
      <c r="C211" s="3"/>
      <c r="D211" s="133"/>
      <c r="E211" s="133"/>
    </row>
    <row r="212" spans="1:5" s="8" customFormat="1" x14ac:dyDescent="0.25">
      <c r="A212" s="3"/>
      <c r="B212" s="10"/>
      <c r="C212" s="3"/>
      <c r="D212" s="133"/>
      <c r="E212" s="133"/>
    </row>
    <row r="213" spans="1:5" s="8" customFormat="1" x14ac:dyDescent="0.25">
      <c r="A213" s="3"/>
      <c r="B213" s="10"/>
      <c r="C213" s="3"/>
      <c r="D213" s="133"/>
      <c r="E213" s="133"/>
    </row>
    <row r="214" spans="1:5" s="8" customFormat="1" x14ac:dyDescent="0.25">
      <c r="A214" s="3"/>
      <c r="B214" s="10"/>
      <c r="C214" s="3"/>
      <c r="D214" s="133"/>
      <c r="E214" s="133"/>
    </row>
    <row r="215" spans="1:5" s="8" customFormat="1" x14ac:dyDescent="0.25">
      <c r="A215" s="3"/>
      <c r="B215" s="10"/>
      <c r="C215" s="3"/>
      <c r="D215" s="133"/>
      <c r="E215" s="133"/>
    </row>
    <row r="216" spans="1:5" s="8" customFormat="1" x14ac:dyDescent="0.25">
      <c r="A216" s="3"/>
      <c r="B216" s="10"/>
      <c r="C216" s="3"/>
      <c r="D216" s="133"/>
      <c r="E216" s="133"/>
    </row>
    <row r="217" spans="1:5" s="8" customFormat="1" x14ac:dyDescent="0.25">
      <c r="A217" s="3"/>
      <c r="B217" s="10"/>
      <c r="C217" s="3"/>
      <c r="D217" s="133"/>
      <c r="E217" s="133"/>
    </row>
    <row r="218" spans="1:5" s="8" customFormat="1" x14ac:dyDescent="0.25">
      <c r="A218" s="3"/>
      <c r="B218" s="10"/>
      <c r="C218" s="3"/>
      <c r="D218" s="133"/>
      <c r="E218" s="133"/>
    </row>
    <row r="219" spans="1:5" s="8" customFormat="1" x14ac:dyDescent="0.25">
      <c r="A219" s="3"/>
      <c r="B219" s="10"/>
      <c r="C219" s="3"/>
      <c r="D219" s="133"/>
      <c r="E219" s="133"/>
    </row>
    <row r="220" spans="1:5" s="8" customFormat="1" x14ac:dyDescent="0.25">
      <c r="A220" s="3"/>
      <c r="B220" s="10"/>
      <c r="C220" s="3"/>
      <c r="D220" s="133"/>
      <c r="E220" s="133"/>
    </row>
    <row r="221" spans="1:5" s="8" customFormat="1" x14ac:dyDescent="0.25">
      <c r="A221" s="3"/>
      <c r="B221" s="10"/>
      <c r="C221" s="3"/>
      <c r="D221" s="133"/>
      <c r="E221" s="133"/>
    </row>
    <row r="222" spans="1:5" s="8" customFormat="1" x14ac:dyDescent="0.25">
      <c r="A222" s="3"/>
      <c r="B222" s="10"/>
      <c r="C222" s="3"/>
      <c r="D222" s="133"/>
      <c r="E222" s="133"/>
    </row>
    <row r="223" spans="1:5" s="8" customFormat="1" x14ac:dyDescent="0.25">
      <c r="A223" s="3"/>
      <c r="B223" s="10"/>
      <c r="C223" s="3"/>
      <c r="D223" s="133"/>
      <c r="E223" s="133"/>
    </row>
  </sheetData>
  <sheetProtection algorithmName="SHA-512" hashValue="oWD5VDD98bWcvFhheo5RVbAq7zznan/CCXUzAe5BXut/9+r5eQARC7O/xIclmS0isph9J6wzu6W2+RTOz/WX3Q==" saltValue="UiQ4l1yTxSKm2lPWyDctjQ==" spinCount="100000" sheet="1" objects="1" scenarios="1" selectLockedCells="1"/>
  <mergeCells count="1">
    <mergeCell ref="A1:E2"/>
  </mergeCells>
  <pageMargins left="4.4488188976377954" right="0.70866141732283472" top="0.94488188976377963" bottom="0.74803149606299213" header="0.31496062992125984" footer="0.31496062992125984"/>
  <pageSetup paperSize="8" orientation="landscape" r:id="rId1"/>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22"/>
  <sheetViews>
    <sheetView showGridLines="0" zoomScaleNormal="100" workbookViewId="0">
      <selection activeCell="D4" sqref="D4"/>
    </sheetView>
  </sheetViews>
  <sheetFormatPr defaultColWidth="8.85546875" defaultRowHeight="11.25" outlineLevelCol="1" x14ac:dyDescent="0.25"/>
  <cols>
    <col min="1" max="1" width="9.28515625" style="3" customWidth="1"/>
    <col min="2" max="2" width="42.85546875" style="10" customWidth="1"/>
    <col min="3" max="3" width="9.42578125" style="3" customWidth="1"/>
    <col min="4" max="5" width="13.7109375" style="133" customWidth="1"/>
    <col min="6" max="6" width="8.85546875" style="3"/>
    <col min="7" max="10" width="8.85546875" style="3" hidden="1" customWidth="1" outlineLevel="1"/>
    <col min="11" max="11" width="8.85546875" style="3" collapsed="1"/>
    <col min="12" max="16384" width="8.85546875" style="3"/>
  </cols>
  <sheetData>
    <row r="1" spans="1:10" ht="11.25" customHeight="1" x14ac:dyDescent="0.25">
      <c r="A1" s="289" t="s">
        <v>1333</v>
      </c>
      <c r="B1" s="289"/>
      <c r="C1" s="289"/>
      <c r="D1" s="289"/>
      <c r="E1" s="289"/>
    </row>
    <row r="2" spans="1:10" ht="11.25" customHeight="1" x14ac:dyDescent="0.25">
      <c r="A2" s="289"/>
      <c r="B2" s="289"/>
      <c r="C2" s="289"/>
      <c r="D2" s="289"/>
      <c r="E2" s="289"/>
    </row>
    <row r="3" spans="1:10" s="7" customFormat="1" ht="31.5" x14ac:dyDescent="0.25">
      <c r="A3" s="7" t="s">
        <v>1119</v>
      </c>
      <c r="B3" s="7" t="s">
        <v>814</v>
      </c>
      <c r="C3" s="7" t="s">
        <v>1593</v>
      </c>
      <c r="D3" s="187" t="s">
        <v>1385</v>
      </c>
      <c r="E3" s="132" t="s">
        <v>1600</v>
      </c>
      <c r="G3" s="7" t="s">
        <v>1324</v>
      </c>
      <c r="H3" s="7" t="s">
        <v>1325</v>
      </c>
      <c r="I3" s="7" t="s">
        <v>1323</v>
      </c>
      <c r="J3" s="7" t="s">
        <v>1124</v>
      </c>
    </row>
    <row r="4" spans="1:10" s="8" customFormat="1" x14ac:dyDescent="0.25">
      <c r="A4" s="253" t="s">
        <v>4</v>
      </c>
      <c r="B4" s="254" t="s">
        <v>1032</v>
      </c>
      <c r="C4" s="257">
        <v>4</v>
      </c>
      <c r="D4" s="237"/>
      <c r="E4" s="236">
        <f>Montag_Consult_Odonto_Dental_Cremer[[#This Row],[VALOR UNID]]*Montag_Consult_Odonto_Dados[[#This Row],[QUANT ]]</f>
        <v>0</v>
      </c>
      <c r="G4" s="15">
        <f>Montag_Consult_Odonto_Dental_Cremer[[#This Row],[VALOR UNID]]</f>
        <v>0</v>
      </c>
      <c r="H4" s="15" t="e">
        <f>#REF!</f>
        <v>#REF!</v>
      </c>
      <c r="I4" s="15" t="e">
        <f>#REF!</f>
        <v>#REF!</v>
      </c>
      <c r="J4" s="15" t="e">
        <f>#REF!</f>
        <v>#REF!</v>
      </c>
    </row>
    <row r="5" spans="1:10" s="8" customFormat="1" x14ac:dyDescent="0.25">
      <c r="A5" s="8" t="s">
        <v>9</v>
      </c>
      <c r="B5" s="21" t="s">
        <v>1033</v>
      </c>
      <c r="C5" s="2">
        <v>4</v>
      </c>
      <c r="D5" s="171"/>
      <c r="E5" s="15">
        <f>Montag_Consult_Odonto_Dental_Cremer[[#This Row],[VALOR UNID]]*Montag_Consult_Odonto_Dados[[#This Row],[QUANT ]]</f>
        <v>0</v>
      </c>
      <c r="G5" s="15">
        <f>Montag_Consult_Odonto_Dental_Cremer[[#This Row],[VALOR UNID]]</f>
        <v>0</v>
      </c>
      <c r="H5" s="15" t="e">
        <f>#REF!</f>
        <v>#REF!</v>
      </c>
      <c r="I5" s="15" t="e">
        <f>#REF!</f>
        <v>#REF!</v>
      </c>
      <c r="J5" s="15" t="e">
        <f>#REF!</f>
        <v>#REF!</v>
      </c>
    </row>
    <row r="6" spans="1:10" s="8" customFormat="1" x14ac:dyDescent="0.25">
      <c r="A6" s="253" t="s">
        <v>12</v>
      </c>
      <c r="B6" s="254" t="s">
        <v>1034</v>
      </c>
      <c r="C6" s="257">
        <v>4</v>
      </c>
      <c r="D6" s="237"/>
      <c r="E6" s="236">
        <f>Montag_Consult_Odonto_Dental_Cremer[[#This Row],[VALOR UNID]]*Montag_Consult_Odonto_Dados[[#This Row],[QUANT ]]</f>
        <v>0</v>
      </c>
      <c r="G6" s="15">
        <f>Montag_Consult_Odonto_Dental_Cremer[[#This Row],[VALOR UNID]]</f>
        <v>0</v>
      </c>
      <c r="H6" s="15" t="e">
        <f>#REF!</f>
        <v>#REF!</v>
      </c>
      <c r="I6" s="15" t="e">
        <f>#REF!</f>
        <v>#REF!</v>
      </c>
      <c r="J6" s="15" t="e">
        <f>#REF!</f>
        <v>#REF!</v>
      </c>
    </row>
    <row r="7" spans="1:10" s="8" customFormat="1" x14ac:dyDescent="0.25">
      <c r="A7" s="8" t="s">
        <v>15</v>
      </c>
      <c r="B7" s="21" t="s">
        <v>1607</v>
      </c>
      <c r="C7" s="2">
        <v>4</v>
      </c>
      <c r="D7" s="171"/>
      <c r="E7" s="15">
        <f>Montag_Consult_Odonto_Dental_Cremer[[#This Row],[VALOR UNID]]*Montag_Consult_Odonto_Dados[[#This Row],[QUANT ]]</f>
        <v>0</v>
      </c>
      <c r="G7" s="15">
        <f>Montag_Consult_Odonto_Dental_Cremer[[#This Row],[VALOR UNID]]</f>
        <v>0</v>
      </c>
      <c r="H7" s="15" t="e">
        <f>#REF!</f>
        <v>#REF!</v>
      </c>
      <c r="I7" s="15" t="e">
        <f>#REF!</f>
        <v>#REF!</v>
      </c>
      <c r="J7" s="15" t="e">
        <f>#REF!</f>
        <v>#REF!</v>
      </c>
    </row>
    <row r="8" spans="1:10" s="8" customFormat="1" x14ac:dyDescent="0.25">
      <c r="A8" s="253" t="s">
        <v>18</v>
      </c>
      <c r="B8" s="254" t="s">
        <v>1035</v>
      </c>
      <c r="C8" s="257">
        <v>4</v>
      </c>
      <c r="D8" s="237"/>
      <c r="E8" s="236">
        <f>Montag_Consult_Odonto_Dental_Cremer[[#This Row],[VALOR UNID]]*Montag_Consult_Odonto_Dados[[#This Row],[QUANT ]]</f>
        <v>0</v>
      </c>
      <c r="G8" s="15">
        <f>Montag_Consult_Odonto_Dental_Cremer[[#This Row],[VALOR UNID]]</f>
        <v>0</v>
      </c>
      <c r="H8" s="15" t="e">
        <f>#REF!</f>
        <v>#REF!</v>
      </c>
      <c r="I8" s="15" t="e">
        <f>#REF!</f>
        <v>#REF!</v>
      </c>
      <c r="J8" s="15" t="e">
        <f>#REF!</f>
        <v>#REF!</v>
      </c>
    </row>
    <row r="9" spans="1:10" s="8" customFormat="1" ht="22.5" x14ac:dyDescent="0.25">
      <c r="A9" s="8" t="s">
        <v>21</v>
      </c>
      <c r="B9" s="21" t="s">
        <v>1036</v>
      </c>
      <c r="C9" s="2">
        <v>4</v>
      </c>
      <c r="D9" s="171"/>
      <c r="E9" s="15">
        <f>Montag_Consult_Odonto_Dental_Cremer[[#This Row],[VALOR UNID]]*Montag_Consult_Odonto_Dados[[#This Row],[QUANT ]]</f>
        <v>0</v>
      </c>
      <c r="G9" s="15">
        <f>Montag_Consult_Odonto_Dental_Cremer[[#This Row],[VALOR UNID]]</f>
        <v>0</v>
      </c>
      <c r="H9" s="15" t="e">
        <f>#REF!</f>
        <v>#REF!</v>
      </c>
      <c r="I9" s="15" t="e">
        <f>#REF!</f>
        <v>#REF!</v>
      </c>
      <c r="J9" s="15" t="e">
        <f>#REF!</f>
        <v>#REF!</v>
      </c>
    </row>
    <row r="10" spans="1:10" s="8" customFormat="1" x14ac:dyDescent="0.25">
      <c r="A10" s="253" t="s">
        <v>24</v>
      </c>
      <c r="B10" s="254" t="s">
        <v>1037</v>
      </c>
      <c r="C10" s="257">
        <v>4</v>
      </c>
      <c r="D10" s="237"/>
      <c r="E10" s="236">
        <f>Montag_Consult_Odonto_Dental_Cremer[[#This Row],[VALOR UNID]]*Montag_Consult_Odonto_Dados[[#This Row],[QUANT ]]</f>
        <v>0</v>
      </c>
      <c r="G10" s="15">
        <f>Montag_Consult_Odonto_Dental_Cremer[[#This Row],[VALOR UNID]]</f>
        <v>0</v>
      </c>
      <c r="H10" s="15" t="e">
        <f>#REF!</f>
        <v>#REF!</v>
      </c>
      <c r="I10" s="15" t="e">
        <f>#REF!</f>
        <v>#REF!</v>
      </c>
      <c r="J10" s="15" t="e">
        <f>#REF!</f>
        <v>#REF!</v>
      </c>
    </row>
    <row r="11" spans="1:10" s="8" customFormat="1" x14ac:dyDescent="0.25">
      <c r="A11" s="8" t="s">
        <v>28</v>
      </c>
      <c r="B11" s="21" t="s">
        <v>1038</v>
      </c>
      <c r="C11" s="2">
        <v>4</v>
      </c>
      <c r="D11" s="171"/>
      <c r="E11" s="15">
        <f>Montag_Consult_Odonto_Dental_Cremer[[#This Row],[VALOR UNID]]*Montag_Consult_Odonto_Dados[[#This Row],[QUANT ]]</f>
        <v>0</v>
      </c>
      <c r="G11" s="15">
        <f>Montag_Consult_Odonto_Dental_Cremer[[#This Row],[VALOR UNID]]</f>
        <v>0</v>
      </c>
      <c r="H11" s="15" t="e">
        <f>#REF!</f>
        <v>#REF!</v>
      </c>
      <c r="I11" s="15" t="e">
        <f>#REF!</f>
        <v>#REF!</v>
      </c>
      <c r="J11" s="15" t="e">
        <f>#REF!</f>
        <v>#REF!</v>
      </c>
    </row>
    <row r="12" spans="1:10" s="8" customFormat="1" ht="22.5" x14ac:dyDescent="0.25">
      <c r="A12" s="253" t="s">
        <v>29</v>
      </c>
      <c r="B12" s="254" t="s">
        <v>1039</v>
      </c>
      <c r="C12" s="257">
        <v>4</v>
      </c>
      <c r="D12" s="237"/>
      <c r="E12" s="236">
        <f>Montag_Consult_Odonto_Dental_Cremer[[#This Row],[VALOR UNID]]*Montag_Consult_Odonto_Dados[[#This Row],[QUANT ]]</f>
        <v>0</v>
      </c>
      <c r="G12" s="15">
        <f>Montag_Consult_Odonto_Dental_Cremer[[#This Row],[VALOR UNID]]</f>
        <v>0</v>
      </c>
      <c r="H12" s="15" t="e">
        <f>#REF!</f>
        <v>#REF!</v>
      </c>
      <c r="I12" s="15" t="e">
        <f>#REF!</f>
        <v>#REF!</v>
      </c>
      <c r="J12" s="15" t="e">
        <f>#REF!</f>
        <v>#REF!</v>
      </c>
    </row>
    <row r="13" spans="1:10" s="8" customFormat="1" x14ac:dyDescent="0.25">
      <c r="A13" s="8" t="s">
        <v>31</v>
      </c>
      <c r="B13" s="21" t="s">
        <v>1040</v>
      </c>
      <c r="C13" s="2">
        <v>4</v>
      </c>
      <c r="D13" s="171"/>
      <c r="E13" s="15">
        <f>Montag_Consult_Odonto_Dental_Cremer[[#This Row],[VALOR UNID]]*Montag_Consult_Odonto_Dados[[#This Row],[QUANT ]]</f>
        <v>0</v>
      </c>
      <c r="G13" s="15">
        <f>Montag_Consult_Odonto_Dental_Cremer[[#This Row],[VALOR UNID]]</f>
        <v>0</v>
      </c>
      <c r="H13" s="15" t="e">
        <f>#REF!</f>
        <v>#REF!</v>
      </c>
      <c r="I13" s="15" t="e">
        <f>#REF!</f>
        <v>#REF!</v>
      </c>
      <c r="J13" s="15" t="e">
        <f>#REF!</f>
        <v>#REF!</v>
      </c>
    </row>
    <row r="14" spans="1:10" s="8" customFormat="1" x14ac:dyDescent="0.25">
      <c r="A14" s="253" t="s">
        <v>35</v>
      </c>
      <c r="B14" s="254" t="s">
        <v>1041</v>
      </c>
      <c r="C14" s="257">
        <v>4</v>
      </c>
      <c r="D14" s="237"/>
      <c r="E14" s="236">
        <f>Montag_Consult_Odonto_Dental_Cremer[[#This Row],[VALOR UNID]]*Montag_Consult_Odonto_Dados[[#This Row],[QUANT ]]</f>
        <v>0</v>
      </c>
      <c r="G14" s="15">
        <f>Montag_Consult_Odonto_Dental_Cremer[[#This Row],[VALOR UNID]]</f>
        <v>0</v>
      </c>
      <c r="H14" s="15" t="e">
        <f>#REF!</f>
        <v>#REF!</v>
      </c>
      <c r="I14" s="15" t="e">
        <f>#REF!</f>
        <v>#REF!</v>
      </c>
      <c r="J14" s="15" t="e">
        <f>#REF!</f>
        <v>#REF!</v>
      </c>
    </row>
    <row r="15" spans="1:10" s="8" customFormat="1" x14ac:dyDescent="0.25">
      <c r="A15" s="8" t="s">
        <v>37</v>
      </c>
      <c r="B15" s="21" t="s">
        <v>1606</v>
      </c>
      <c r="C15" s="2">
        <v>4</v>
      </c>
      <c r="D15" s="171"/>
      <c r="E15" s="15">
        <f>Montag_Consult_Odonto_Dental_Cremer[[#This Row],[VALOR UNID]]*Montag_Consult_Odonto_Dados[[#This Row],[QUANT ]]</f>
        <v>0</v>
      </c>
      <c r="G15" s="15">
        <f>Montag_Consult_Odonto_Dental_Cremer[[#This Row],[VALOR UNID]]</f>
        <v>0</v>
      </c>
      <c r="H15" s="15" t="e">
        <f>#REF!</f>
        <v>#REF!</v>
      </c>
      <c r="I15" s="15" t="e">
        <f>#REF!</f>
        <v>#REF!</v>
      </c>
      <c r="J15" s="15" t="e">
        <f>#REF!</f>
        <v>#REF!</v>
      </c>
    </row>
    <row r="16" spans="1:10" s="8" customFormat="1" x14ac:dyDescent="0.25">
      <c r="A16" s="17"/>
      <c r="B16" s="45"/>
      <c r="C16" s="46">
        <f t="shared" ref="C16" si="0">SUBTOTAL(109,C4:C15)</f>
        <v>48</v>
      </c>
      <c r="D16" s="26"/>
      <c r="E16" s="26">
        <f>SUBTOTAL(109,Montag_Consult_Odonto_Dental_Cremer[[VALOR TOTAL ]])</f>
        <v>0</v>
      </c>
    </row>
    <row r="17" spans="1:5" s="8" customFormat="1" x14ac:dyDescent="0.25">
      <c r="A17" s="3"/>
      <c r="B17" s="36" t="s">
        <v>1631</v>
      </c>
      <c r="C17" s="3"/>
      <c r="D17" s="133"/>
      <c r="E17" s="133"/>
    </row>
    <row r="18" spans="1:5" s="8" customFormat="1" x14ac:dyDescent="0.2">
      <c r="A18" s="3"/>
      <c r="B18" s="37"/>
      <c r="C18" s="3"/>
      <c r="D18" s="133"/>
      <c r="E18" s="133"/>
    </row>
    <row r="19" spans="1:5" s="8" customFormat="1" x14ac:dyDescent="0.25">
      <c r="A19" s="3"/>
      <c r="B19" s="10"/>
      <c r="C19" s="3"/>
      <c r="D19" s="133"/>
      <c r="E19" s="133"/>
    </row>
    <row r="20" spans="1:5" s="8" customFormat="1" x14ac:dyDescent="0.25">
      <c r="A20" s="3"/>
      <c r="B20" s="10"/>
      <c r="C20" s="3"/>
      <c r="D20" s="133"/>
      <c r="E20" s="133"/>
    </row>
    <row r="21" spans="1:5" s="8" customFormat="1" x14ac:dyDescent="0.25">
      <c r="A21" s="3"/>
      <c r="B21" s="10"/>
      <c r="C21" s="3"/>
      <c r="D21" s="133"/>
      <c r="E21" s="133"/>
    </row>
    <row r="22" spans="1:5" s="8" customFormat="1" x14ac:dyDescent="0.25">
      <c r="A22" s="3"/>
      <c r="B22" s="10"/>
      <c r="C22" s="3"/>
      <c r="D22" s="133"/>
      <c r="E22" s="133"/>
    </row>
    <row r="23" spans="1:5" s="8" customFormat="1" x14ac:dyDescent="0.25">
      <c r="A23" s="3"/>
      <c r="B23" s="10"/>
      <c r="C23" s="3"/>
      <c r="D23" s="133"/>
      <c r="E23" s="133"/>
    </row>
    <row r="24" spans="1:5" s="8" customFormat="1" x14ac:dyDescent="0.25">
      <c r="A24" s="3"/>
      <c r="B24" s="10"/>
      <c r="C24" s="3"/>
      <c r="D24" s="133"/>
      <c r="E24" s="133"/>
    </row>
    <row r="25" spans="1:5" s="8" customFormat="1" x14ac:dyDescent="0.25">
      <c r="A25" s="3"/>
      <c r="B25" s="10"/>
      <c r="C25" s="3"/>
      <c r="D25" s="133"/>
      <c r="E25" s="133"/>
    </row>
    <row r="26" spans="1:5" s="8" customFormat="1" x14ac:dyDescent="0.25">
      <c r="A26" s="3"/>
      <c r="B26" s="10"/>
      <c r="C26" s="3"/>
      <c r="D26" s="133"/>
      <c r="E26" s="133"/>
    </row>
    <row r="27" spans="1:5" s="8" customFormat="1" x14ac:dyDescent="0.25">
      <c r="A27" s="3"/>
      <c r="B27" s="10"/>
      <c r="C27" s="3"/>
      <c r="D27" s="133"/>
      <c r="E27" s="133"/>
    </row>
    <row r="28" spans="1:5" s="8" customFormat="1" x14ac:dyDescent="0.25">
      <c r="A28" s="3"/>
      <c r="B28" s="10"/>
      <c r="C28" s="3"/>
      <c r="D28" s="133"/>
      <c r="E28" s="133"/>
    </row>
    <row r="29" spans="1:5" s="8" customFormat="1" x14ac:dyDescent="0.25">
      <c r="A29" s="3"/>
      <c r="B29" s="10"/>
      <c r="C29" s="3"/>
      <c r="D29" s="133"/>
      <c r="E29" s="133"/>
    </row>
    <row r="30" spans="1:5" s="8" customFormat="1" x14ac:dyDescent="0.25">
      <c r="A30" s="3"/>
      <c r="B30" s="10"/>
      <c r="C30" s="3"/>
      <c r="D30" s="133"/>
      <c r="E30" s="133"/>
    </row>
    <row r="31" spans="1:5" s="8" customFormat="1" x14ac:dyDescent="0.25">
      <c r="A31" s="3"/>
      <c r="B31" s="10"/>
      <c r="C31" s="3"/>
      <c r="D31" s="133"/>
      <c r="E31" s="133"/>
    </row>
    <row r="32" spans="1:5" s="8" customFormat="1" x14ac:dyDescent="0.25">
      <c r="A32" s="3"/>
      <c r="B32" s="10"/>
      <c r="C32" s="3"/>
      <c r="D32" s="133"/>
      <c r="E32" s="133"/>
    </row>
    <row r="33" spans="1:5" s="8" customFormat="1" x14ac:dyDescent="0.25">
      <c r="A33" s="3"/>
      <c r="B33" s="10"/>
      <c r="C33" s="3"/>
      <c r="D33" s="133"/>
      <c r="E33" s="133"/>
    </row>
    <row r="34" spans="1:5" s="8" customFormat="1" x14ac:dyDescent="0.25">
      <c r="A34" s="3"/>
      <c r="B34" s="10"/>
      <c r="C34" s="3"/>
      <c r="D34" s="133"/>
      <c r="E34" s="133"/>
    </row>
    <row r="35" spans="1:5" s="8" customFormat="1" x14ac:dyDescent="0.25">
      <c r="A35" s="3"/>
      <c r="B35" s="10"/>
      <c r="C35" s="3"/>
      <c r="D35" s="133"/>
      <c r="E35" s="133"/>
    </row>
    <row r="36" spans="1:5" s="8" customFormat="1" x14ac:dyDescent="0.25">
      <c r="A36" s="3"/>
      <c r="B36" s="10"/>
      <c r="C36" s="3"/>
      <c r="D36" s="133"/>
      <c r="E36" s="133"/>
    </row>
    <row r="37" spans="1:5" s="8" customFormat="1" x14ac:dyDescent="0.25">
      <c r="A37" s="3"/>
      <c r="B37" s="10"/>
      <c r="C37" s="3"/>
      <c r="D37" s="133"/>
      <c r="E37" s="133"/>
    </row>
    <row r="38" spans="1:5" s="8" customFormat="1" x14ac:dyDescent="0.25">
      <c r="A38" s="3"/>
      <c r="B38" s="10"/>
      <c r="C38" s="3"/>
      <c r="D38" s="133"/>
      <c r="E38" s="133"/>
    </row>
    <row r="39" spans="1:5" s="8" customFormat="1" x14ac:dyDescent="0.25">
      <c r="A39" s="3"/>
      <c r="B39" s="10"/>
      <c r="C39" s="3"/>
      <c r="D39" s="133"/>
      <c r="E39" s="133"/>
    </row>
    <row r="40" spans="1:5" s="8" customFormat="1" x14ac:dyDescent="0.25">
      <c r="A40" s="3"/>
      <c r="B40" s="10"/>
      <c r="C40" s="3"/>
      <c r="D40" s="133"/>
      <c r="E40" s="133"/>
    </row>
    <row r="41" spans="1:5" s="8" customFormat="1" x14ac:dyDescent="0.25">
      <c r="A41" s="3"/>
      <c r="B41" s="10"/>
      <c r="C41" s="3"/>
      <c r="D41" s="133"/>
      <c r="E41" s="133"/>
    </row>
    <row r="42" spans="1:5" s="8" customFormat="1" x14ac:dyDescent="0.25">
      <c r="A42" s="3"/>
      <c r="B42" s="10"/>
      <c r="C42" s="3"/>
      <c r="D42" s="133"/>
      <c r="E42" s="133"/>
    </row>
    <row r="43" spans="1:5" s="8" customFormat="1" x14ac:dyDescent="0.25">
      <c r="A43" s="3"/>
      <c r="B43" s="10"/>
      <c r="C43" s="3"/>
      <c r="D43" s="133"/>
      <c r="E43" s="133"/>
    </row>
    <row r="44" spans="1:5" s="8" customFormat="1" x14ac:dyDescent="0.25">
      <c r="A44" s="3"/>
      <c r="B44" s="10"/>
      <c r="C44" s="3"/>
      <c r="D44" s="133"/>
      <c r="E44" s="133"/>
    </row>
    <row r="45" spans="1:5" s="8" customFormat="1" x14ac:dyDescent="0.25">
      <c r="A45" s="3"/>
      <c r="B45" s="10"/>
      <c r="C45" s="3"/>
      <c r="D45" s="133"/>
      <c r="E45" s="133"/>
    </row>
    <row r="46" spans="1:5" s="8" customFormat="1" x14ac:dyDescent="0.25">
      <c r="A46" s="3"/>
      <c r="B46" s="10"/>
      <c r="C46" s="3"/>
      <c r="D46" s="133"/>
      <c r="E46" s="133"/>
    </row>
    <row r="47" spans="1:5" s="8" customFormat="1" x14ac:dyDescent="0.25">
      <c r="A47" s="3"/>
      <c r="B47" s="10"/>
      <c r="C47" s="3"/>
      <c r="D47" s="133"/>
      <c r="E47" s="133"/>
    </row>
    <row r="48" spans="1:5" s="8" customFormat="1" x14ac:dyDescent="0.25">
      <c r="A48" s="3"/>
      <c r="B48" s="10"/>
      <c r="C48" s="3"/>
      <c r="D48" s="133"/>
      <c r="E48" s="133"/>
    </row>
    <row r="49" spans="1:5" s="8" customFormat="1" x14ac:dyDescent="0.25">
      <c r="A49" s="3"/>
      <c r="B49" s="10"/>
      <c r="C49" s="3"/>
      <c r="D49" s="133"/>
      <c r="E49" s="133"/>
    </row>
    <row r="50" spans="1:5" s="8" customFormat="1" x14ac:dyDescent="0.25">
      <c r="A50" s="3"/>
      <c r="B50" s="10"/>
      <c r="C50" s="3"/>
      <c r="D50" s="133"/>
      <c r="E50" s="133"/>
    </row>
    <row r="51" spans="1:5" s="8" customFormat="1" x14ac:dyDescent="0.25">
      <c r="A51" s="3"/>
      <c r="B51" s="10"/>
      <c r="C51" s="3"/>
      <c r="D51" s="133"/>
      <c r="E51" s="133"/>
    </row>
    <row r="52" spans="1:5" s="8" customFormat="1" x14ac:dyDescent="0.25">
      <c r="A52" s="3"/>
      <c r="B52" s="10"/>
      <c r="C52" s="3"/>
      <c r="D52" s="133"/>
      <c r="E52" s="133"/>
    </row>
    <row r="53" spans="1:5" s="8" customFormat="1" x14ac:dyDescent="0.25">
      <c r="A53" s="3"/>
      <c r="B53" s="10"/>
      <c r="C53" s="3"/>
      <c r="D53" s="133"/>
      <c r="E53" s="133"/>
    </row>
    <row r="54" spans="1:5" s="8" customFormat="1" x14ac:dyDescent="0.25">
      <c r="A54" s="3"/>
      <c r="B54" s="10"/>
      <c r="C54" s="3"/>
      <c r="D54" s="133"/>
      <c r="E54" s="133"/>
    </row>
    <row r="55" spans="1:5" s="8" customFormat="1" x14ac:dyDescent="0.25">
      <c r="A55" s="3"/>
      <c r="B55" s="10"/>
      <c r="C55" s="3"/>
      <c r="D55" s="133"/>
      <c r="E55" s="133"/>
    </row>
    <row r="56" spans="1:5" s="8" customFormat="1" x14ac:dyDescent="0.25">
      <c r="A56" s="3"/>
      <c r="B56" s="10"/>
      <c r="C56" s="3"/>
      <c r="D56" s="133"/>
      <c r="E56" s="133"/>
    </row>
    <row r="57" spans="1:5" s="8" customFormat="1" x14ac:dyDescent="0.25">
      <c r="A57" s="3"/>
      <c r="B57" s="10"/>
      <c r="C57" s="3"/>
      <c r="D57" s="133"/>
      <c r="E57" s="133"/>
    </row>
    <row r="58" spans="1:5" s="8" customFormat="1" x14ac:dyDescent="0.25">
      <c r="A58" s="3"/>
      <c r="B58" s="10"/>
      <c r="C58" s="3"/>
      <c r="D58" s="133"/>
      <c r="E58" s="133"/>
    </row>
    <row r="59" spans="1:5" s="8" customFormat="1" x14ac:dyDescent="0.25">
      <c r="A59" s="3"/>
      <c r="B59" s="10"/>
      <c r="C59" s="3"/>
      <c r="D59" s="133"/>
      <c r="E59" s="133"/>
    </row>
    <row r="60" spans="1:5" s="8" customFormat="1" x14ac:dyDescent="0.25">
      <c r="A60" s="3"/>
      <c r="B60" s="10"/>
      <c r="C60" s="3"/>
      <c r="D60" s="133"/>
      <c r="E60" s="133"/>
    </row>
    <row r="61" spans="1:5" s="8" customFormat="1" x14ac:dyDescent="0.25">
      <c r="A61" s="3"/>
      <c r="B61" s="10"/>
      <c r="C61" s="3"/>
      <c r="D61" s="133"/>
      <c r="E61" s="133"/>
    </row>
    <row r="62" spans="1:5" s="8" customFormat="1" x14ac:dyDescent="0.25">
      <c r="A62" s="3"/>
      <c r="B62" s="10"/>
      <c r="C62" s="3"/>
      <c r="D62" s="133"/>
      <c r="E62" s="133"/>
    </row>
    <row r="63" spans="1:5" s="8" customFormat="1" x14ac:dyDescent="0.25">
      <c r="A63" s="3"/>
      <c r="B63" s="10"/>
      <c r="C63" s="3"/>
      <c r="D63" s="133"/>
      <c r="E63" s="133"/>
    </row>
    <row r="64" spans="1:5" s="8" customFormat="1" x14ac:dyDescent="0.25">
      <c r="A64" s="3"/>
      <c r="B64" s="10"/>
      <c r="C64" s="3"/>
      <c r="D64" s="133"/>
      <c r="E64" s="133"/>
    </row>
    <row r="65" spans="1:5" s="8" customFormat="1" x14ac:dyDescent="0.25">
      <c r="A65" s="3"/>
      <c r="B65" s="10"/>
      <c r="C65" s="3"/>
      <c r="D65" s="133"/>
      <c r="E65" s="133"/>
    </row>
    <row r="66" spans="1:5" s="8" customFormat="1" x14ac:dyDescent="0.25">
      <c r="A66" s="3"/>
      <c r="B66" s="10"/>
      <c r="C66" s="3"/>
      <c r="D66" s="133"/>
      <c r="E66" s="133"/>
    </row>
    <row r="67" spans="1:5" s="8" customFormat="1" x14ac:dyDescent="0.25">
      <c r="A67" s="3"/>
      <c r="B67" s="10"/>
      <c r="C67" s="3"/>
      <c r="D67" s="133"/>
      <c r="E67" s="133"/>
    </row>
    <row r="68" spans="1:5" s="8" customFormat="1" x14ac:dyDescent="0.25">
      <c r="A68" s="3"/>
      <c r="B68" s="10"/>
      <c r="C68" s="3"/>
      <c r="D68" s="133"/>
      <c r="E68" s="133"/>
    </row>
    <row r="69" spans="1:5" s="8" customFormat="1" x14ac:dyDescent="0.25">
      <c r="A69" s="3"/>
      <c r="B69" s="10"/>
      <c r="C69" s="3"/>
      <c r="D69" s="133"/>
      <c r="E69" s="133"/>
    </row>
    <row r="70" spans="1:5" s="8" customFormat="1" x14ac:dyDescent="0.25">
      <c r="A70" s="3"/>
      <c r="B70" s="10"/>
      <c r="C70" s="3"/>
      <c r="D70" s="133"/>
      <c r="E70" s="133"/>
    </row>
    <row r="71" spans="1:5" s="8" customFormat="1" x14ac:dyDescent="0.25">
      <c r="A71" s="3"/>
      <c r="B71" s="10"/>
      <c r="C71" s="3"/>
      <c r="D71" s="133"/>
      <c r="E71" s="133"/>
    </row>
    <row r="72" spans="1:5" s="8" customFormat="1" x14ac:dyDescent="0.25">
      <c r="A72" s="3"/>
      <c r="B72" s="10"/>
      <c r="C72" s="3"/>
      <c r="D72" s="133"/>
      <c r="E72" s="133"/>
    </row>
    <row r="73" spans="1:5" s="8" customFormat="1" x14ac:dyDescent="0.25">
      <c r="A73" s="3"/>
      <c r="B73" s="10"/>
      <c r="C73" s="3"/>
      <c r="D73" s="133"/>
      <c r="E73" s="133"/>
    </row>
    <row r="74" spans="1:5" s="8" customFormat="1" x14ac:dyDescent="0.25">
      <c r="A74" s="3"/>
      <c r="B74" s="10"/>
      <c r="C74" s="3"/>
      <c r="D74" s="133"/>
      <c r="E74" s="133"/>
    </row>
    <row r="75" spans="1:5" s="8" customFormat="1" x14ac:dyDescent="0.25">
      <c r="A75" s="3"/>
      <c r="B75" s="10"/>
      <c r="C75" s="3"/>
      <c r="D75" s="133"/>
      <c r="E75" s="133"/>
    </row>
    <row r="76" spans="1:5" s="8" customFormat="1" x14ac:dyDescent="0.25">
      <c r="A76" s="3"/>
      <c r="B76" s="10"/>
      <c r="C76" s="3"/>
      <c r="D76" s="133"/>
      <c r="E76" s="133"/>
    </row>
    <row r="77" spans="1:5" s="8" customFormat="1" x14ac:dyDescent="0.25">
      <c r="A77" s="3"/>
      <c r="B77" s="10"/>
      <c r="C77" s="3"/>
      <c r="D77" s="133"/>
      <c r="E77" s="133"/>
    </row>
    <row r="78" spans="1:5" s="8" customFormat="1" x14ac:dyDescent="0.25">
      <c r="A78" s="3"/>
      <c r="B78" s="10"/>
      <c r="C78" s="3"/>
      <c r="D78" s="133"/>
      <c r="E78" s="133"/>
    </row>
    <row r="79" spans="1:5" s="8" customFormat="1" x14ac:dyDescent="0.25">
      <c r="A79" s="3"/>
      <c r="B79" s="10"/>
      <c r="C79" s="3"/>
      <c r="D79" s="133"/>
      <c r="E79" s="133"/>
    </row>
    <row r="80" spans="1:5" s="8" customFormat="1" x14ac:dyDescent="0.25">
      <c r="A80" s="3"/>
      <c r="B80" s="10"/>
      <c r="C80" s="3"/>
      <c r="D80" s="133"/>
      <c r="E80" s="133"/>
    </row>
    <row r="81" spans="1:5" s="8" customFormat="1" x14ac:dyDescent="0.25">
      <c r="A81" s="3"/>
      <c r="B81" s="10"/>
      <c r="C81" s="3"/>
      <c r="D81" s="133"/>
      <c r="E81" s="133"/>
    </row>
    <row r="82" spans="1:5" s="8" customFormat="1" x14ac:dyDescent="0.25">
      <c r="A82" s="3"/>
      <c r="B82" s="10"/>
      <c r="C82" s="3"/>
      <c r="D82" s="133"/>
      <c r="E82" s="133"/>
    </row>
    <row r="83" spans="1:5" s="8" customFormat="1" x14ac:dyDescent="0.25">
      <c r="A83" s="3"/>
      <c r="B83" s="10"/>
      <c r="C83" s="3"/>
      <c r="D83" s="133"/>
      <c r="E83" s="133"/>
    </row>
    <row r="84" spans="1:5" s="8" customFormat="1" x14ac:dyDescent="0.25">
      <c r="A84" s="3"/>
      <c r="B84" s="10"/>
      <c r="C84" s="3"/>
      <c r="D84" s="133"/>
      <c r="E84" s="133"/>
    </row>
    <row r="85" spans="1:5" s="8" customFormat="1" x14ac:dyDescent="0.25">
      <c r="A85" s="3"/>
      <c r="B85" s="10"/>
      <c r="C85" s="3"/>
      <c r="D85" s="133"/>
      <c r="E85" s="133"/>
    </row>
    <row r="86" spans="1:5" s="8" customFormat="1" x14ac:dyDescent="0.25">
      <c r="A86" s="3"/>
      <c r="B86" s="10"/>
      <c r="C86" s="3"/>
      <c r="D86" s="133"/>
      <c r="E86" s="133"/>
    </row>
    <row r="87" spans="1:5" s="8" customFormat="1" x14ac:dyDescent="0.25">
      <c r="A87" s="3"/>
      <c r="B87" s="10"/>
      <c r="C87" s="3"/>
      <c r="D87" s="133"/>
      <c r="E87" s="133"/>
    </row>
    <row r="88" spans="1:5" s="8" customFormat="1" x14ac:dyDescent="0.25">
      <c r="A88" s="3"/>
      <c r="B88" s="10"/>
      <c r="C88" s="3"/>
      <c r="D88" s="133"/>
      <c r="E88" s="133"/>
    </row>
    <row r="89" spans="1:5" s="8" customFormat="1" x14ac:dyDescent="0.25">
      <c r="A89" s="3"/>
      <c r="B89" s="10"/>
      <c r="C89" s="3"/>
      <c r="D89" s="133"/>
      <c r="E89" s="133"/>
    </row>
    <row r="90" spans="1:5" s="8" customFormat="1" x14ac:dyDescent="0.25">
      <c r="A90" s="3"/>
      <c r="B90" s="10"/>
      <c r="C90" s="3"/>
      <c r="D90" s="133"/>
      <c r="E90" s="133"/>
    </row>
    <row r="91" spans="1:5" s="8" customFormat="1" x14ac:dyDescent="0.25">
      <c r="A91" s="3"/>
      <c r="B91" s="10"/>
      <c r="C91" s="3"/>
      <c r="D91" s="133"/>
      <c r="E91" s="133"/>
    </row>
    <row r="92" spans="1:5" s="8" customFormat="1" x14ac:dyDescent="0.25">
      <c r="A92" s="3"/>
      <c r="B92" s="10"/>
      <c r="C92" s="3"/>
      <c r="D92" s="133"/>
      <c r="E92" s="133"/>
    </row>
    <row r="93" spans="1:5" s="8" customFormat="1" x14ac:dyDescent="0.25">
      <c r="A93" s="3"/>
      <c r="B93" s="10"/>
      <c r="C93" s="3"/>
      <c r="D93" s="133"/>
      <c r="E93" s="133"/>
    </row>
    <row r="94" spans="1:5" s="8" customFormat="1" x14ac:dyDescent="0.25">
      <c r="A94" s="3"/>
      <c r="B94" s="10"/>
      <c r="C94" s="3"/>
      <c r="D94" s="133"/>
      <c r="E94" s="133"/>
    </row>
    <row r="95" spans="1:5" s="8" customFormat="1" x14ac:dyDescent="0.25">
      <c r="A95" s="3"/>
      <c r="B95" s="10"/>
      <c r="C95" s="3"/>
      <c r="D95" s="133"/>
      <c r="E95" s="133"/>
    </row>
    <row r="96" spans="1:5" s="8" customFormat="1" x14ac:dyDescent="0.25">
      <c r="A96" s="3"/>
      <c r="B96" s="10"/>
      <c r="C96" s="3"/>
      <c r="D96" s="133"/>
      <c r="E96" s="133"/>
    </row>
    <row r="97" spans="1:5" s="8" customFormat="1" x14ac:dyDescent="0.25">
      <c r="A97" s="3"/>
      <c r="B97" s="10"/>
      <c r="C97" s="3"/>
      <c r="D97" s="133"/>
      <c r="E97" s="133"/>
    </row>
    <row r="98" spans="1:5" s="8" customFormat="1" x14ac:dyDescent="0.25">
      <c r="A98" s="3"/>
      <c r="B98" s="10"/>
      <c r="C98" s="3"/>
      <c r="D98" s="133"/>
      <c r="E98" s="133"/>
    </row>
    <row r="99" spans="1:5" s="8" customFormat="1" x14ac:dyDescent="0.25">
      <c r="A99" s="3"/>
      <c r="B99" s="10"/>
      <c r="C99" s="3"/>
      <c r="D99" s="133"/>
      <c r="E99" s="133"/>
    </row>
    <row r="100" spans="1:5" s="8" customFormat="1" x14ac:dyDescent="0.25">
      <c r="A100" s="3"/>
      <c r="B100" s="10"/>
      <c r="C100" s="3"/>
      <c r="D100" s="133"/>
      <c r="E100" s="133"/>
    </row>
    <row r="101" spans="1:5" s="8" customFormat="1" x14ac:dyDescent="0.25">
      <c r="A101" s="3"/>
      <c r="B101" s="10"/>
      <c r="C101" s="3"/>
      <c r="D101" s="133"/>
      <c r="E101" s="133"/>
    </row>
    <row r="102" spans="1:5" s="8" customFormat="1" x14ac:dyDescent="0.25">
      <c r="A102" s="3"/>
      <c r="B102" s="10"/>
      <c r="C102" s="3"/>
      <c r="D102" s="133"/>
      <c r="E102" s="133"/>
    </row>
    <row r="103" spans="1:5" s="8" customFormat="1" x14ac:dyDescent="0.25">
      <c r="A103" s="3"/>
      <c r="B103" s="10"/>
      <c r="C103" s="3"/>
      <c r="D103" s="133"/>
      <c r="E103" s="133"/>
    </row>
    <row r="104" spans="1:5" s="8" customFormat="1" x14ac:dyDescent="0.25">
      <c r="A104" s="3"/>
      <c r="B104" s="10"/>
      <c r="C104" s="3"/>
      <c r="D104" s="133"/>
      <c r="E104" s="133"/>
    </row>
    <row r="105" spans="1:5" s="8" customFormat="1" x14ac:dyDescent="0.25">
      <c r="A105" s="3"/>
      <c r="B105" s="10"/>
      <c r="C105" s="3"/>
      <c r="D105" s="133"/>
      <c r="E105" s="133"/>
    </row>
    <row r="106" spans="1:5" s="8" customFormat="1" x14ac:dyDescent="0.25">
      <c r="A106" s="3"/>
      <c r="B106" s="10"/>
      <c r="C106" s="3"/>
      <c r="D106" s="133"/>
      <c r="E106" s="133"/>
    </row>
    <row r="107" spans="1:5" s="8" customFormat="1" x14ac:dyDescent="0.25">
      <c r="A107" s="3"/>
      <c r="B107" s="10"/>
      <c r="C107" s="3"/>
      <c r="D107" s="133"/>
      <c r="E107" s="133"/>
    </row>
    <row r="108" spans="1:5" s="8" customFormat="1" x14ac:dyDescent="0.25">
      <c r="A108" s="3"/>
      <c r="B108" s="10"/>
      <c r="C108" s="3"/>
      <c r="D108" s="133"/>
      <c r="E108" s="133"/>
    </row>
    <row r="109" spans="1:5" s="8" customFormat="1" x14ac:dyDescent="0.25">
      <c r="A109" s="3"/>
      <c r="B109" s="10"/>
      <c r="C109" s="3"/>
      <c r="D109" s="133"/>
      <c r="E109" s="133"/>
    </row>
    <row r="110" spans="1:5" s="8" customFormat="1" x14ac:dyDescent="0.25">
      <c r="A110" s="3"/>
      <c r="B110" s="10"/>
      <c r="C110" s="3"/>
      <c r="D110" s="133"/>
      <c r="E110" s="133"/>
    </row>
    <row r="111" spans="1:5" s="8" customFormat="1" x14ac:dyDescent="0.25">
      <c r="A111" s="3"/>
      <c r="B111" s="10"/>
      <c r="C111" s="3"/>
      <c r="D111" s="133"/>
      <c r="E111" s="133"/>
    </row>
    <row r="112" spans="1:5" s="8" customFormat="1" x14ac:dyDescent="0.25">
      <c r="A112" s="3"/>
      <c r="B112" s="10"/>
      <c r="C112" s="3"/>
      <c r="D112" s="133"/>
      <c r="E112" s="133"/>
    </row>
    <row r="113" spans="1:5" s="8" customFormat="1" x14ac:dyDescent="0.25">
      <c r="A113" s="3"/>
      <c r="B113" s="10"/>
      <c r="C113" s="3"/>
      <c r="D113" s="133"/>
      <c r="E113" s="133"/>
    </row>
    <row r="114" spans="1:5" s="8" customFormat="1" x14ac:dyDescent="0.25">
      <c r="A114" s="3"/>
      <c r="B114" s="10"/>
      <c r="C114" s="3"/>
      <c r="D114" s="133"/>
      <c r="E114" s="133"/>
    </row>
    <row r="115" spans="1:5" s="8" customFormat="1" x14ac:dyDescent="0.25">
      <c r="A115" s="3"/>
      <c r="B115" s="10"/>
      <c r="C115" s="3"/>
      <c r="D115" s="133"/>
      <c r="E115" s="133"/>
    </row>
    <row r="116" spans="1:5" s="8" customFormat="1" x14ac:dyDescent="0.25">
      <c r="A116" s="3"/>
      <c r="B116" s="10"/>
      <c r="C116" s="3"/>
      <c r="D116" s="133"/>
      <c r="E116" s="133"/>
    </row>
    <row r="117" spans="1:5" s="8" customFormat="1" x14ac:dyDescent="0.25">
      <c r="A117" s="3"/>
      <c r="B117" s="10"/>
      <c r="C117" s="3"/>
      <c r="D117" s="133"/>
      <c r="E117" s="133"/>
    </row>
    <row r="118" spans="1:5" s="8" customFormat="1" x14ac:dyDescent="0.25">
      <c r="A118" s="3"/>
      <c r="B118" s="10"/>
      <c r="C118" s="3"/>
      <c r="D118" s="133"/>
      <c r="E118" s="133"/>
    </row>
    <row r="119" spans="1:5" s="8" customFormat="1" x14ac:dyDescent="0.25">
      <c r="A119" s="3"/>
      <c r="B119" s="10"/>
      <c r="C119" s="3"/>
      <c r="D119" s="133"/>
      <c r="E119" s="133"/>
    </row>
    <row r="120" spans="1:5" s="8" customFormat="1" x14ac:dyDescent="0.25">
      <c r="A120" s="3"/>
      <c r="B120" s="10"/>
      <c r="C120" s="3"/>
      <c r="D120" s="133"/>
      <c r="E120" s="133"/>
    </row>
    <row r="121" spans="1:5" s="8" customFormat="1" x14ac:dyDescent="0.25">
      <c r="A121" s="3"/>
      <c r="B121" s="10"/>
      <c r="C121" s="3"/>
      <c r="D121" s="133"/>
      <c r="E121" s="133"/>
    </row>
    <row r="122" spans="1:5" s="8" customFormat="1" x14ac:dyDescent="0.25">
      <c r="A122" s="3"/>
      <c r="B122" s="10"/>
      <c r="C122" s="3"/>
      <c r="D122" s="133"/>
      <c r="E122" s="133"/>
    </row>
    <row r="123" spans="1:5" s="8" customFormat="1" x14ac:dyDescent="0.25">
      <c r="A123" s="3"/>
      <c r="B123" s="10"/>
      <c r="C123" s="3"/>
      <c r="D123" s="133"/>
      <c r="E123" s="133"/>
    </row>
    <row r="124" spans="1:5" s="8" customFormat="1" x14ac:dyDescent="0.25">
      <c r="A124" s="3"/>
      <c r="B124" s="10"/>
      <c r="C124" s="3"/>
      <c r="D124" s="133"/>
      <c r="E124" s="133"/>
    </row>
    <row r="125" spans="1:5" s="8" customFormat="1" x14ac:dyDescent="0.25">
      <c r="A125" s="3"/>
      <c r="B125" s="10"/>
      <c r="C125" s="3"/>
      <c r="D125" s="133"/>
      <c r="E125" s="133"/>
    </row>
    <row r="126" spans="1:5" s="8" customFormat="1" x14ac:dyDescent="0.25">
      <c r="A126" s="3"/>
      <c r="B126" s="10"/>
      <c r="C126" s="3"/>
      <c r="D126" s="133"/>
      <c r="E126" s="133"/>
    </row>
    <row r="127" spans="1:5" s="8" customFormat="1" x14ac:dyDescent="0.25">
      <c r="A127" s="3"/>
      <c r="B127" s="10"/>
      <c r="C127" s="3"/>
      <c r="D127" s="133"/>
      <c r="E127" s="133"/>
    </row>
    <row r="128" spans="1:5" s="8" customFormat="1" x14ac:dyDescent="0.25">
      <c r="A128" s="3"/>
      <c r="B128" s="10"/>
      <c r="C128" s="3"/>
      <c r="D128" s="133"/>
      <c r="E128" s="133"/>
    </row>
    <row r="129" spans="1:5" s="8" customFormat="1" x14ac:dyDescent="0.25">
      <c r="A129" s="3"/>
      <c r="B129" s="10"/>
      <c r="C129" s="3"/>
      <c r="D129" s="133"/>
      <c r="E129" s="133"/>
    </row>
    <row r="130" spans="1:5" s="8" customFormat="1" x14ac:dyDescent="0.25">
      <c r="A130" s="3"/>
      <c r="B130" s="10"/>
      <c r="C130" s="3"/>
      <c r="D130" s="133"/>
      <c r="E130" s="133"/>
    </row>
    <row r="131" spans="1:5" s="8" customFormat="1" x14ac:dyDescent="0.25">
      <c r="A131" s="3"/>
      <c r="B131" s="10"/>
      <c r="C131" s="3"/>
      <c r="D131" s="133"/>
      <c r="E131" s="133"/>
    </row>
    <row r="132" spans="1:5" s="8" customFormat="1" x14ac:dyDescent="0.25">
      <c r="A132" s="3"/>
      <c r="B132" s="10"/>
      <c r="C132" s="3"/>
      <c r="D132" s="133"/>
      <c r="E132" s="133"/>
    </row>
    <row r="133" spans="1:5" s="8" customFormat="1" x14ac:dyDescent="0.25">
      <c r="A133" s="3"/>
      <c r="B133" s="10"/>
      <c r="C133" s="3"/>
      <c r="D133" s="133"/>
      <c r="E133" s="133"/>
    </row>
    <row r="134" spans="1:5" s="8" customFormat="1" x14ac:dyDescent="0.25">
      <c r="A134" s="3"/>
      <c r="B134" s="10"/>
      <c r="C134" s="3"/>
      <c r="D134" s="133"/>
      <c r="E134" s="133"/>
    </row>
    <row r="135" spans="1:5" s="8" customFormat="1" x14ac:dyDescent="0.25">
      <c r="A135" s="3"/>
      <c r="B135" s="10"/>
      <c r="C135" s="3"/>
      <c r="D135" s="133"/>
      <c r="E135" s="133"/>
    </row>
    <row r="136" spans="1:5" s="8" customFormat="1" x14ac:dyDescent="0.25">
      <c r="A136" s="3"/>
      <c r="B136" s="10"/>
      <c r="C136" s="3"/>
      <c r="D136" s="133"/>
      <c r="E136" s="133"/>
    </row>
    <row r="137" spans="1:5" s="8" customFormat="1" x14ac:dyDescent="0.25">
      <c r="A137" s="3"/>
      <c r="B137" s="10"/>
      <c r="C137" s="3"/>
      <c r="D137" s="133"/>
      <c r="E137" s="133"/>
    </row>
    <row r="138" spans="1:5" s="8" customFormat="1" x14ac:dyDescent="0.25">
      <c r="A138" s="3"/>
      <c r="B138" s="10"/>
      <c r="C138" s="3"/>
      <c r="D138" s="133"/>
      <c r="E138" s="133"/>
    </row>
    <row r="139" spans="1:5" s="8" customFormat="1" x14ac:dyDescent="0.25">
      <c r="A139" s="3"/>
      <c r="B139" s="10"/>
      <c r="C139" s="3"/>
      <c r="D139" s="133"/>
      <c r="E139" s="133"/>
    </row>
    <row r="140" spans="1:5" s="8" customFormat="1" x14ac:dyDescent="0.25">
      <c r="A140" s="3"/>
      <c r="B140" s="10"/>
      <c r="C140" s="3"/>
      <c r="D140" s="133"/>
      <c r="E140" s="133"/>
    </row>
    <row r="141" spans="1:5" s="8" customFormat="1" x14ac:dyDescent="0.25">
      <c r="A141" s="3"/>
      <c r="B141" s="10"/>
      <c r="C141" s="3"/>
      <c r="D141" s="133"/>
      <c r="E141" s="133"/>
    </row>
    <row r="142" spans="1:5" s="8" customFormat="1" x14ac:dyDescent="0.25">
      <c r="A142" s="3"/>
      <c r="B142" s="10"/>
      <c r="C142" s="3"/>
      <c r="D142" s="133"/>
      <c r="E142" s="133"/>
    </row>
    <row r="143" spans="1:5" s="8" customFormat="1" x14ac:dyDescent="0.25">
      <c r="A143" s="3"/>
      <c r="B143" s="10"/>
      <c r="C143" s="3"/>
      <c r="D143" s="133"/>
      <c r="E143" s="133"/>
    </row>
    <row r="144" spans="1:5" s="8" customFormat="1" x14ac:dyDescent="0.25">
      <c r="A144" s="3"/>
      <c r="B144" s="10"/>
      <c r="C144" s="3"/>
      <c r="D144" s="133"/>
      <c r="E144" s="133"/>
    </row>
    <row r="145" spans="1:5" s="8" customFormat="1" x14ac:dyDescent="0.25">
      <c r="A145" s="3"/>
      <c r="B145" s="10"/>
      <c r="C145" s="3"/>
      <c r="D145" s="133"/>
      <c r="E145" s="133"/>
    </row>
    <row r="146" spans="1:5" s="8" customFormat="1" x14ac:dyDescent="0.25">
      <c r="A146" s="3"/>
      <c r="B146" s="10"/>
      <c r="C146" s="3"/>
      <c r="D146" s="133"/>
      <c r="E146" s="133"/>
    </row>
    <row r="147" spans="1:5" s="8" customFormat="1" x14ac:dyDescent="0.25">
      <c r="A147" s="3"/>
      <c r="B147" s="10"/>
      <c r="C147" s="3"/>
      <c r="D147" s="133"/>
      <c r="E147" s="133"/>
    </row>
    <row r="148" spans="1:5" s="8" customFormat="1" x14ac:dyDescent="0.25">
      <c r="A148" s="3"/>
      <c r="B148" s="10"/>
      <c r="C148" s="3"/>
      <c r="D148" s="133"/>
      <c r="E148" s="133"/>
    </row>
    <row r="149" spans="1:5" s="8" customFormat="1" x14ac:dyDescent="0.25">
      <c r="A149" s="3"/>
      <c r="B149" s="10"/>
      <c r="C149" s="3"/>
      <c r="D149" s="133"/>
      <c r="E149" s="133"/>
    </row>
    <row r="150" spans="1:5" s="8" customFormat="1" x14ac:dyDescent="0.25">
      <c r="A150" s="3"/>
      <c r="B150" s="10"/>
      <c r="C150" s="3"/>
      <c r="D150" s="133"/>
      <c r="E150" s="133"/>
    </row>
    <row r="151" spans="1:5" s="8" customFormat="1" x14ac:dyDescent="0.25">
      <c r="A151" s="3"/>
      <c r="B151" s="10"/>
      <c r="C151" s="3"/>
      <c r="D151" s="133"/>
      <c r="E151" s="133"/>
    </row>
    <row r="152" spans="1:5" s="8" customFormat="1" x14ac:dyDescent="0.25">
      <c r="A152" s="3"/>
      <c r="B152" s="10"/>
      <c r="C152" s="3"/>
      <c r="D152" s="133"/>
      <c r="E152" s="133"/>
    </row>
    <row r="153" spans="1:5" s="8" customFormat="1" x14ac:dyDescent="0.25">
      <c r="A153" s="3"/>
      <c r="B153" s="10"/>
      <c r="C153" s="3"/>
      <c r="D153" s="133"/>
      <c r="E153" s="133"/>
    </row>
    <row r="154" spans="1:5" s="8" customFormat="1" x14ac:dyDescent="0.25">
      <c r="A154" s="3"/>
      <c r="B154" s="10"/>
      <c r="C154" s="3"/>
      <c r="D154" s="133"/>
      <c r="E154" s="133"/>
    </row>
    <row r="155" spans="1:5" s="8" customFormat="1" x14ac:dyDescent="0.25">
      <c r="A155" s="3"/>
      <c r="B155" s="10"/>
      <c r="C155" s="3"/>
      <c r="D155" s="133"/>
      <c r="E155" s="133"/>
    </row>
    <row r="156" spans="1:5" s="8" customFormat="1" x14ac:dyDescent="0.25">
      <c r="A156" s="3"/>
      <c r="B156" s="10"/>
      <c r="C156" s="3"/>
      <c r="D156" s="133"/>
      <c r="E156" s="133"/>
    </row>
    <row r="157" spans="1:5" s="8" customFormat="1" x14ac:dyDescent="0.25">
      <c r="A157" s="3"/>
      <c r="B157" s="10"/>
      <c r="C157" s="3"/>
      <c r="D157" s="133"/>
      <c r="E157" s="133"/>
    </row>
    <row r="158" spans="1:5" s="8" customFormat="1" x14ac:dyDescent="0.25">
      <c r="A158" s="3"/>
      <c r="B158" s="10"/>
      <c r="C158" s="3"/>
      <c r="D158" s="133"/>
      <c r="E158" s="133"/>
    </row>
    <row r="159" spans="1:5" s="8" customFormat="1" x14ac:dyDescent="0.25">
      <c r="A159" s="3"/>
      <c r="B159" s="10"/>
      <c r="C159" s="3"/>
      <c r="D159" s="133"/>
      <c r="E159" s="133"/>
    </row>
    <row r="160" spans="1:5" s="8" customFormat="1" x14ac:dyDescent="0.25">
      <c r="A160" s="3"/>
      <c r="B160" s="10"/>
      <c r="C160" s="3"/>
      <c r="D160" s="133"/>
      <c r="E160" s="133"/>
    </row>
    <row r="161" spans="1:5" s="8" customFormat="1" x14ac:dyDescent="0.25">
      <c r="A161" s="3"/>
      <c r="B161" s="10"/>
      <c r="C161" s="3"/>
      <c r="D161" s="133"/>
      <c r="E161" s="133"/>
    </row>
    <row r="162" spans="1:5" s="8" customFormat="1" x14ac:dyDescent="0.25">
      <c r="A162" s="3"/>
      <c r="B162" s="10"/>
      <c r="C162" s="3"/>
      <c r="D162" s="133"/>
      <c r="E162" s="133"/>
    </row>
    <row r="163" spans="1:5" s="8" customFormat="1" x14ac:dyDescent="0.25">
      <c r="A163" s="3"/>
      <c r="B163" s="10"/>
      <c r="C163" s="3"/>
      <c r="D163" s="133"/>
      <c r="E163" s="133"/>
    </row>
    <row r="164" spans="1:5" s="8" customFormat="1" x14ac:dyDescent="0.25">
      <c r="A164" s="3"/>
      <c r="B164" s="10"/>
      <c r="C164" s="3"/>
      <c r="D164" s="133"/>
      <c r="E164" s="133"/>
    </row>
    <row r="165" spans="1:5" s="8" customFormat="1" x14ac:dyDescent="0.25">
      <c r="A165" s="3"/>
      <c r="B165" s="10"/>
      <c r="C165" s="3"/>
      <c r="D165" s="133"/>
      <c r="E165" s="133"/>
    </row>
    <row r="166" spans="1:5" s="8" customFormat="1" x14ac:dyDescent="0.25">
      <c r="A166" s="3"/>
      <c r="B166" s="10"/>
      <c r="C166" s="3"/>
      <c r="D166" s="133"/>
      <c r="E166" s="133"/>
    </row>
    <row r="167" spans="1:5" s="8" customFormat="1" x14ac:dyDescent="0.25">
      <c r="A167" s="3"/>
      <c r="B167" s="10"/>
      <c r="C167" s="3"/>
      <c r="D167" s="133"/>
      <c r="E167" s="133"/>
    </row>
    <row r="168" spans="1:5" s="8" customFormat="1" x14ac:dyDescent="0.25">
      <c r="A168" s="3"/>
      <c r="B168" s="10"/>
      <c r="C168" s="3"/>
      <c r="D168" s="133"/>
      <c r="E168" s="133"/>
    </row>
    <row r="169" spans="1:5" s="8" customFormat="1" x14ac:dyDescent="0.25">
      <c r="A169" s="3"/>
      <c r="B169" s="10"/>
      <c r="C169" s="3"/>
      <c r="D169" s="133"/>
      <c r="E169" s="133"/>
    </row>
    <row r="170" spans="1:5" s="8" customFormat="1" x14ac:dyDescent="0.25">
      <c r="A170" s="3"/>
      <c r="B170" s="10"/>
      <c r="C170" s="3"/>
      <c r="D170" s="133"/>
      <c r="E170" s="133"/>
    </row>
    <row r="171" spans="1:5" s="8" customFormat="1" x14ac:dyDescent="0.25">
      <c r="A171" s="3"/>
      <c r="B171" s="10"/>
      <c r="C171" s="3"/>
      <c r="D171" s="133"/>
      <c r="E171" s="133"/>
    </row>
    <row r="172" spans="1:5" s="8" customFormat="1" x14ac:dyDescent="0.25">
      <c r="A172" s="3"/>
      <c r="B172" s="10"/>
      <c r="C172" s="3"/>
      <c r="D172" s="133"/>
      <c r="E172" s="133"/>
    </row>
    <row r="173" spans="1:5" s="8" customFormat="1" x14ac:dyDescent="0.25">
      <c r="A173" s="3"/>
      <c r="B173" s="10"/>
      <c r="C173" s="3"/>
      <c r="D173" s="133"/>
      <c r="E173" s="133"/>
    </row>
    <row r="174" spans="1:5" s="8" customFormat="1" x14ac:dyDescent="0.25">
      <c r="A174" s="3"/>
      <c r="B174" s="10"/>
      <c r="C174" s="3"/>
      <c r="D174" s="133"/>
      <c r="E174" s="133"/>
    </row>
    <row r="175" spans="1:5" s="8" customFormat="1" x14ac:dyDescent="0.25">
      <c r="A175" s="3"/>
      <c r="B175" s="10"/>
      <c r="C175" s="3"/>
      <c r="D175" s="133"/>
      <c r="E175" s="133"/>
    </row>
    <row r="176" spans="1:5" s="8" customFormat="1" x14ac:dyDescent="0.25">
      <c r="A176" s="3"/>
      <c r="B176" s="10"/>
      <c r="C176" s="3"/>
      <c r="D176" s="133"/>
      <c r="E176" s="133"/>
    </row>
    <row r="177" spans="1:5" s="8" customFormat="1" x14ac:dyDescent="0.25">
      <c r="A177" s="3"/>
      <c r="B177" s="10"/>
      <c r="C177" s="3"/>
      <c r="D177" s="133"/>
      <c r="E177" s="133"/>
    </row>
    <row r="178" spans="1:5" s="8" customFormat="1" x14ac:dyDescent="0.25">
      <c r="A178" s="3"/>
      <c r="B178" s="10"/>
      <c r="C178" s="3"/>
      <c r="D178" s="133"/>
      <c r="E178" s="133"/>
    </row>
    <row r="179" spans="1:5" s="8" customFormat="1" x14ac:dyDescent="0.25">
      <c r="A179" s="3"/>
      <c r="B179" s="10"/>
      <c r="C179" s="3"/>
      <c r="D179" s="133"/>
      <c r="E179" s="133"/>
    </row>
    <row r="180" spans="1:5" s="8" customFormat="1" x14ac:dyDescent="0.25">
      <c r="A180" s="3"/>
      <c r="B180" s="10"/>
      <c r="C180" s="3"/>
      <c r="D180" s="133"/>
      <c r="E180" s="133"/>
    </row>
    <row r="181" spans="1:5" s="8" customFormat="1" x14ac:dyDescent="0.25">
      <c r="A181" s="3"/>
      <c r="B181" s="10"/>
      <c r="C181" s="3"/>
      <c r="D181" s="133"/>
      <c r="E181" s="133"/>
    </row>
    <row r="182" spans="1:5" s="8" customFormat="1" x14ac:dyDescent="0.25">
      <c r="A182" s="3"/>
      <c r="B182" s="10"/>
      <c r="C182" s="3"/>
      <c r="D182" s="133"/>
      <c r="E182" s="133"/>
    </row>
    <row r="183" spans="1:5" s="8" customFormat="1" x14ac:dyDescent="0.25">
      <c r="A183" s="3"/>
      <c r="B183" s="10"/>
      <c r="C183" s="3"/>
      <c r="D183" s="133"/>
      <c r="E183" s="133"/>
    </row>
    <row r="184" spans="1:5" s="8" customFormat="1" x14ac:dyDescent="0.25">
      <c r="A184" s="3"/>
      <c r="B184" s="10"/>
      <c r="C184" s="3"/>
      <c r="D184" s="133"/>
      <c r="E184" s="133"/>
    </row>
    <row r="185" spans="1:5" s="8" customFormat="1" x14ac:dyDescent="0.25">
      <c r="A185" s="3"/>
      <c r="B185" s="10"/>
      <c r="C185" s="3"/>
      <c r="D185" s="133"/>
      <c r="E185" s="133"/>
    </row>
    <row r="186" spans="1:5" s="8" customFormat="1" x14ac:dyDescent="0.25">
      <c r="A186" s="3"/>
      <c r="B186" s="10"/>
      <c r="C186" s="3"/>
      <c r="D186" s="133"/>
      <c r="E186" s="133"/>
    </row>
    <row r="187" spans="1:5" s="8" customFormat="1" x14ac:dyDescent="0.25">
      <c r="A187" s="3"/>
      <c r="B187" s="10"/>
      <c r="C187" s="3"/>
      <c r="D187" s="133"/>
      <c r="E187" s="133"/>
    </row>
    <row r="188" spans="1:5" s="8" customFormat="1" x14ac:dyDescent="0.25">
      <c r="A188" s="3"/>
      <c r="B188" s="10"/>
      <c r="C188" s="3"/>
      <c r="D188" s="133"/>
      <c r="E188" s="133"/>
    </row>
    <row r="189" spans="1:5" s="8" customFormat="1" x14ac:dyDescent="0.25">
      <c r="A189" s="3"/>
      <c r="B189" s="10"/>
      <c r="C189" s="3"/>
      <c r="D189" s="133"/>
      <c r="E189" s="133"/>
    </row>
    <row r="190" spans="1:5" s="8" customFormat="1" x14ac:dyDescent="0.25">
      <c r="A190" s="3"/>
      <c r="B190" s="10"/>
      <c r="C190" s="3"/>
      <c r="D190" s="133"/>
      <c r="E190" s="133"/>
    </row>
    <row r="191" spans="1:5" s="8" customFormat="1" x14ac:dyDescent="0.25">
      <c r="A191" s="3"/>
      <c r="B191" s="10"/>
      <c r="C191" s="3"/>
      <c r="D191" s="133"/>
      <c r="E191" s="133"/>
    </row>
    <row r="192" spans="1:5" s="8" customFormat="1" x14ac:dyDescent="0.25">
      <c r="A192" s="3"/>
      <c r="B192" s="10"/>
      <c r="C192" s="3"/>
      <c r="D192" s="133"/>
      <c r="E192" s="133"/>
    </row>
    <row r="193" spans="1:5" s="8" customFormat="1" x14ac:dyDescent="0.25">
      <c r="A193" s="3"/>
      <c r="B193" s="10"/>
      <c r="C193" s="3"/>
      <c r="D193" s="133"/>
      <c r="E193" s="133"/>
    </row>
    <row r="194" spans="1:5" s="8" customFormat="1" x14ac:dyDescent="0.25">
      <c r="A194" s="3"/>
      <c r="B194" s="10"/>
      <c r="C194" s="3"/>
      <c r="D194" s="133"/>
      <c r="E194" s="133"/>
    </row>
    <row r="195" spans="1:5" s="8" customFormat="1" x14ac:dyDescent="0.25">
      <c r="A195" s="3"/>
      <c r="B195" s="10"/>
      <c r="C195" s="3"/>
      <c r="D195" s="133"/>
      <c r="E195" s="133"/>
    </row>
    <row r="196" spans="1:5" s="8" customFormat="1" x14ac:dyDescent="0.25">
      <c r="A196" s="3"/>
      <c r="B196" s="10"/>
      <c r="C196" s="3"/>
      <c r="D196" s="133"/>
      <c r="E196" s="133"/>
    </row>
    <row r="197" spans="1:5" s="8" customFormat="1" x14ac:dyDescent="0.25">
      <c r="A197" s="3"/>
      <c r="B197" s="10"/>
      <c r="C197" s="3"/>
      <c r="D197" s="133"/>
      <c r="E197" s="133"/>
    </row>
    <row r="198" spans="1:5" s="8" customFormat="1" x14ac:dyDescent="0.25">
      <c r="A198" s="3"/>
      <c r="B198" s="10"/>
      <c r="C198" s="3"/>
      <c r="D198" s="133"/>
      <c r="E198" s="133"/>
    </row>
    <row r="199" spans="1:5" s="8" customFormat="1" x14ac:dyDescent="0.25">
      <c r="A199" s="3"/>
      <c r="B199" s="10"/>
      <c r="C199" s="3"/>
      <c r="D199" s="133"/>
      <c r="E199" s="133"/>
    </row>
    <row r="200" spans="1:5" s="8" customFormat="1" x14ac:dyDescent="0.25">
      <c r="A200" s="3"/>
      <c r="B200" s="10"/>
      <c r="C200" s="3"/>
      <c r="D200" s="133"/>
      <c r="E200" s="133"/>
    </row>
    <row r="201" spans="1:5" s="8" customFormat="1" x14ac:dyDescent="0.25">
      <c r="A201" s="3"/>
      <c r="B201" s="10"/>
      <c r="C201" s="3"/>
      <c r="D201" s="133"/>
      <c r="E201" s="133"/>
    </row>
    <row r="202" spans="1:5" s="8" customFormat="1" x14ac:dyDescent="0.25">
      <c r="A202" s="3"/>
      <c r="B202" s="10"/>
      <c r="C202" s="3"/>
      <c r="D202" s="133"/>
      <c r="E202" s="133"/>
    </row>
    <row r="203" spans="1:5" s="8" customFormat="1" x14ac:dyDescent="0.25">
      <c r="A203" s="3"/>
      <c r="B203" s="10"/>
      <c r="C203" s="3"/>
      <c r="D203" s="133"/>
      <c r="E203" s="133"/>
    </row>
    <row r="204" spans="1:5" s="8" customFormat="1" x14ac:dyDescent="0.25">
      <c r="A204" s="3"/>
      <c r="B204" s="10"/>
      <c r="C204" s="3"/>
      <c r="D204" s="133"/>
      <c r="E204" s="133"/>
    </row>
    <row r="205" spans="1:5" s="8" customFormat="1" x14ac:dyDescent="0.25">
      <c r="A205" s="3"/>
      <c r="B205" s="10"/>
      <c r="C205" s="3"/>
      <c r="D205" s="133"/>
      <c r="E205" s="133"/>
    </row>
    <row r="206" spans="1:5" s="8" customFormat="1" x14ac:dyDescent="0.25">
      <c r="A206" s="3"/>
      <c r="B206" s="10"/>
      <c r="C206" s="3"/>
      <c r="D206" s="133"/>
      <c r="E206" s="133"/>
    </row>
    <row r="207" spans="1:5" s="8" customFormat="1" x14ac:dyDescent="0.25">
      <c r="A207" s="3"/>
      <c r="B207" s="10"/>
      <c r="C207" s="3"/>
      <c r="D207" s="133"/>
      <c r="E207" s="133"/>
    </row>
    <row r="208" spans="1:5" s="8" customFormat="1" x14ac:dyDescent="0.25">
      <c r="A208" s="3"/>
      <c r="B208" s="10"/>
      <c r="C208" s="3"/>
      <c r="D208" s="133"/>
      <c r="E208" s="133"/>
    </row>
    <row r="209" spans="1:5" s="8" customFormat="1" x14ac:dyDescent="0.25">
      <c r="A209" s="3"/>
      <c r="B209" s="10"/>
      <c r="C209" s="3"/>
      <c r="D209" s="133"/>
      <c r="E209" s="133"/>
    </row>
    <row r="210" spans="1:5" s="8" customFormat="1" x14ac:dyDescent="0.25">
      <c r="A210" s="3"/>
      <c r="B210" s="10"/>
      <c r="C210" s="3"/>
      <c r="D210" s="133"/>
      <c r="E210" s="133"/>
    </row>
    <row r="211" spans="1:5" s="8" customFormat="1" x14ac:dyDescent="0.25">
      <c r="A211" s="3"/>
      <c r="B211" s="10"/>
      <c r="C211" s="3"/>
      <c r="D211" s="133"/>
      <c r="E211" s="133"/>
    </row>
    <row r="212" spans="1:5" s="8" customFormat="1" x14ac:dyDescent="0.25">
      <c r="A212" s="3"/>
      <c r="B212" s="10"/>
      <c r="C212" s="3"/>
      <c r="D212" s="133"/>
      <c r="E212" s="133"/>
    </row>
    <row r="213" spans="1:5" s="8" customFormat="1" x14ac:dyDescent="0.25">
      <c r="A213" s="3"/>
      <c r="B213" s="10"/>
      <c r="C213" s="3"/>
      <c r="D213" s="133"/>
      <c r="E213" s="133"/>
    </row>
    <row r="214" spans="1:5" s="8" customFormat="1" x14ac:dyDescent="0.25">
      <c r="A214" s="3"/>
      <c r="B214" s="10"/>
      <c r="C214" s="3"/>
      <c r="D214" s="133"/>
      <c r="E214" s="133"/>
    </row>
    <row r="215" spans="1:5" s="8" customFormat="1" x14ac:dyDescent="0.25">
      <c r="A215" s="3"/>
      <c r="B215" s="10"/>
      <c r="C215" s="3"/>
      <c r="D215" s="133"/>
      <c r="E215" s="133"/>
    </row>
    <row r="216" spans="1:5" s="8" customFormat="1" x14ac:dyDescent="0.25">
      <c r="A216" s="3"/>
      <c r="B216" s="10"/>
      <c r="C216" s="3"/>
      <c r="D216" s="133"/>
      <c r="E216" s="133"/>
    </row>
    <row r="217" spans="1:5" s="8" customFormat="1" x14ac:dyDescent="0.25">
      <c r="A217" s="3"/>
      <c r="B217" s="10"/>
      <c r="C217" s="3"/>
      <c r="D217" s="133"/>
      <c r="E217" s="133"/>
    </row>
    <row r="218" spans="1:5" s="8" customFormat="1" x14ac:dyDescent="0.25">
      <c r="A218" s="3"/>
      <c r="B218" s="10"/>
      <c r="C218" s="3"/>
      <c r="D218" s="133"/>
      <c r="E218" s="133"/>
    </row>
    <row r="219" spans="1:5" s="8" customFormat="1" x14ac:dyDescent="0.25">
      <c r="A219" s="3"/>
      <c r="B219" s="10"/>
      <c r="C219" s="3"/>
      <c r="D219" s="133"/>
      <c r="E219" s="133"/>
    </row>
    <row r="220" spans="1:5" s="8" customFormat="1" x14ac:dyDescent="0.25">
      <c r="A220" s="3"/>
      <c r="B220" s="10"/>
      <c r="C220" s="3"/>
      <c r="D220" s="133"/>
      <c r="E220" s="133"/>
    </row>
    <row r="221" spans="1:5" s="8" customFormat="1" x14ac:dyDescent="0.25">
      <c r="A221" s="3"/>
      <c r="B221" s="10"/>
      <c r="C221" s="3"/>
      <c r="D221" s="133"/>
      <c r="E221" s="133"/>
    </row>
    <row r="222" spans="1:5" s="8" customFormat="1" x14ac:dyDescent="0.25">
      <c r="A222" s="3"/>
      <c r="B222" s="10"/>
      <c r="C222" s="3"/>
      <c r="D222" s="133"/>
      <c r="E222" s="133"/>
    </row>
  </sheetData>
  <sheetProtection algorithmName="SHA-512" hashValue="X2IYmZPgotkGvtwW8AHH82F4YBpTWFkTi15LyyLzawwPcPYvTh2U6vYVBPZf2710jRuF3a6Oo360n/M/1Jpp1w==" saltValue="vZngbvSYAfVOYpR5Lnh8cA==" spinCount="100000" sheet="1" objects="1" scenarios="1" selectLockedCells="1"/>
  <mergeCells count="1">
    <mergeCell ref="A1:E2"/>
  </mergeCells>
  <pageMargins left="4.6456692913385833" right="0.70866141732283472" top="1.1417322834645669" bottom="0.74803149606299213" header="0.31496062992125984" footer="0.31496062992125984"/>
  <pageSetup paperSize="8" orientation="landscape"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223"/>
  <sheetViews>
    <sheetView showGridLines="0" workbookViewId="0">
      <selection activeCell="D4" sqref="D4"/>
    </sheetView>
  </sheetViews>
  <sheetFormatPr defaultColWidth="8.85546875" defaultRowHeight="11.25" x14ac:dyDescent="0.25"/>
  <cols>
    <col min="1" max="1" width="6.7109375" style="3" customWidth="1"/>
    <col min="2" max="2" width="42.7109375" style="10" bestFit="1" customWidth="1"/>
    <col min="3" max="3" width="8.7109375" style="3" customWidth="1"/>
    <col min="4" max="5" width="13.7109375" style="133" customWidth="1"/>
    <col min="6" max="16384" width="8.85546875" style="3"/>
  </cols>
  <sheetData>
    <row r="1" spans="1:5" ht="11.25" customHeight="1" x14ac:dyDescent="0.25">
      <c r="A1" s="289" t="s">
        <v>1079</v>
      </c>
      <c r="B1" s="289"/>
      <c r="C1" s="289"/>
      <c r="D1" s="289"/>
      <c r="E1" s="289"/>
    </row>
    <row r="2" spans="1:5" ht="11.25" customHeight="1" x14ac:dyDescent="0.25">
      <c r="A2" s="289"/>
      <c r="B2" s="289"/>
      <c r="C2" s="289"/>
      <c r="D2" s="289"/>
      <c r="E2" s="289"/>
    </row>
    <row r="3" spans="1:5" s="7" customFormat="1" ht="10.5" x14ac:dyDescent="0.25">
      <c r="A3" s="7" t="s">
        <v>1119</v>
      </c>
      <c r="B3" s="7" t="s">
        <v>814</v>
      </c>
      <c r="C3" s="7" t="s">
        <v>1593</v>
      </c>
      <c r="D3" s="187" t="s">
        <v>1385</v>
      </c>
      <c r="E3" s="132" t="s">
        <v>1386</v>
      </c>
    </row>
    <row r="4" spans="1:5" s="8" customFormat="1" x14ac:dyDescent="0.25">
      <c r="A4" s="253" t="s">
        <v>4</v>
      </c>
      <c r="B4" s="253" t="s">
        <v>1042</v>
      </c>
      <c r="C4" s="253">
        <v>12</v>
      </c>
      <c r="D4" s="237"/>
      <c r="E4" s="236">
        <f>Montag_Central_Ambul_Diversos[[#This Row],[VALOR UNID]]*Montag_Central_Ambul_Dados[[#This Row],[QUANT ]]</f>
        <v>0</v>
      </c>
    </row>
    <row r="5" spans="1:5" s="8" customFormat="1" x14ac:dyDescent="0.25">
      <c r="A5" s="8" t="s">
        <v>9</v>
      </c>
      <c r="B5" s="22" t="s">
        <v>1043</v>
      </c>
      <c r="C5" s="22">
        <v>4</v>
      </c>
      <c r="D5" s="171"/>
      <c r="E5" s="15">
        <f>Montag_Central_Ambul_Diversos[[#This Row],[VALOR UNID]]*Montag_Central_Ambul_Dados[[#This Row],[QUANT ]]</f>
        <v>0</v>
      </c>
    </row>
    <row r="6" spans="1:5" s="8" customFormat="1" x14ac:dyDescent="0.25">
      <c r="A6" s="253" t="s">
        <v>12</v>
      </c>
      <c r="B6" s="253" t="s">
        <v>1044</v>
      </c>
      <c r="C6" s="253">
        <v>4</v>
      </c>
      <c r="D6" s="237"/>
      <c r="E6" s="236">
        <f>Montag_Central_Ambul_Diversos[[#This Row],[VALOR UNID]]*Montag_Central_Ambul_Dados[[#This Row],[QUANT ]]</f>
        <v>0</v>
      </c>
    </row>
    <row r="7" spans="1:5" s="8" customFormat="1" x14ac:dyDescent="0.25">
      <c r="A7" s="8" t="s">
        <v>15</v>
      </c>
      <c r="B7" s="22" t="s">
        <v>1045</v>
      </c>
      <c r="C7" s="22">
        <v>2</v>
      </c>
      <c r="D7" s="171"/>
      <c r="E7" s="15">
        <f>Montag_Central_Ambul_Diversos[[#This Row],[VALOR UNID]]*Montag_Central_Ambul_Dados[[#This Row],[QUANT ]]</f>
        <v>0</v>
      </c>
    </row>
    <row r="8" spans="1:5" s="8" customFormat="1" x14ac:dyDescent="0.25">
      <c r="A8" s="253" t="s">
        <v>18</v>
      </c>
      <c r="B8" s="253" t="s">
        <v>1046</v>
      </c>
      <c r="C8" s="253">
        <v>2</v>
      </c>
      <c r="D8" s="237"/>
      <c r="E8" s="236">
        <f>Montag_Central_Ambul_Diversos[[#This Row],[VALOR UNID]]*Montag_Central_Ambul_Dados[[#This Row],[QUANT ]]</f>
        <v>0</v>
      </c>
    </row>
    <row r="9" spans="1:5" s="8" customFormat="1" x14ac:dyDescent="0.25">
      <c r="A9" s="8" t="s">
        <v>21</v>
      </c>
      <c r="B9" s="22" t="s">
        <v>1047</v>
      </c>
      <c r="C9" s="22">
        <v>2</v>
      </c>
      <c r="D9" s="171"/>
      <c r="E9" s="15">
        <f>Montag_Central_Ambul_Diversos[[#This Row],[VALOR UNID]]*Montag_Central_Ambul_Dados[[#This Row],[QUANT ]]</f>
        <v>0</v>
      </c>
    </row>
    <row r="10" spans="1:5" s="8" customFormat="1" x14ac:dyDescent="0.25">
      <c r="A10" s="253" t="s">
        <v>24</v>
      </c>
      <c r="B10" s="253" t="s">
        <v>1048</v>
      </c>
      <c r="C10" s="253">
        <v>2</v>
      </c>
      <c r="D10" s="237"/>
      <c r="E10" s="236">
        <f>Montag_Central_Ambul_Diversos[[#This Row],[VALOR UNID]]*Montag_Central_Ambul_Dados[[#This Row],[QUANT ]]</f>
        <v>0</v>
      </c>
    </row>
    <row r="11" spans="1:5" s="8" customFormat="1" x14ac:dyDescent="0.25">
      <c r="A11" s="8" t="s">
        <v>28</v>
      </c>
      <c r="B11" s="22" t="s">
        <v>1049</v>
      </c>
      <c r="C11" s="22">
        <v>8</v>
      </c>
      <c r="D11" s="171"/>
      <c r="E11" s="15">
        <f>Montag_Central_Ambul_Diversos[[#This Row],[VALOR UNID]]*Montag_Central_Ambul_Dados[[#This Row],[QUANT ]]</f>
        <v>0</v>
      </c>
    </row>
    <row r="12" spans="1:5" s="8" customFormat="1" x14ac:dyDescent="0.25">
      <c r="A12" s="253" t="s">
        <v>29</v>
      </c>
      <c r="B12" s="253" t="s">
        <v>1050</v>
      </c>
      <c r="C12" s="253">
        <v>2</v>
      </c>
      <c r="D12" s="237"/>
      <c r="E12" s="236">
        <f>Montag_Central_Ambul_Diversos[[#This Row],[VALOR UNID]]*Montag_Central_Ambul_Dados[[#This Row],[QUANT ]]</f>
        <v>0</v>
      </c>
    </row>
    <row r="13" spans="1:5" s="8" customFormat="1" x14ac:dyDescent="0.25">
      <c r="A13" s="8" t="s">
        <v>31</v>
      </c>
      <c r="B13" s="22" t="s">
        <v>1051</v>
      </c>
      <c r="C13" s="22">
        <v>8</v>
      </c>
      <c r="D13" s="171"/>
      <c r="E13" s="15">
        <f>Montag_Central_Ambul_Diversos[[#This Row],[VALOR UNID]]*Montag_Central_Ambul_Dados[[#This Row],[QUANT ]]</f>
        <v>0</v>
      </c>
    </row>
    <row r="14" spans="1:5" s="8" customFormat="1" x14ac:dyDescent="0.25">
      <c r="A14" s="253" t="s">
        <v>35</v>
      </c>
      <c r="B14" s="253" t="s">
        <v>1052</v>
      </c>
      <c r="C14" s="253">
        <v>8</v>
      </c>
      <c r="D14" s="237"/>
      <c r="E14" s="236">
        <f>Montag_Central_Ambul_Diversos[[#This Row],[VALOR UNID]]*Montag_Central_Ambul_Dados[[#This Row],[QUANT ]]</f>
        <v>0</v>
      </c>
    </row>
    <row r="15" spans="1:5" s="8" customFormat="1" x14ac:dyDescent="0.25">
      <c r="A15" s="8" t="s">
        <v>37</v>
      </c>
      <c r="B15" s="22" t="s">
        <v>1053</v>
      </c>
      <c r="C15" s="22">
        <v>8</v>
      </c>
      <c r="D15" s="171"/>
      <c r="E15" s="15">
        <f>Montag_Central_Ambul_Diversos[[#This Row],[VALOR UNID]]*Montag_Central_Ambul_Dados[[#This Row],[QUANT ]]</f>
        <v>0</v>
      </c>
    </row>
    <row r="16" spans="1:5" s="8" customFormat="1" x14ac:dyDescent="0.25">
      <c r="A16" s="17"/>
      <c r="B16" s="45"/>
      <c r="C16" s="46">
        <f t="shared" ref="C16" si="0">SUBTOTAL(109,C4:C15)</f>
        <v>62</v>
      </c>
      <c r="D16" s="26"/>
      <c r="E16" s="26">
        <f>SUBTOTAL(109,Montag_Central_Ambul_Diversos[VALOR TOTAL])</f>
        <v>0</v>
      </c>
    </row>
    <row r="17" spans="1:5" s="8" customFormat="1" x14ac:dyDescent="0.25">
      <c r="A17" s="3"/>
      <c r="B17" s="36" t="s">
        <v>1630</v>
      </c>
      <c r="C17" s="3"/>
      <c r="D17" s="133"/>
      <c r="E17" s="133"/>
    </row>
    <row r="18" spans="1:5" s="8" customFormat="1" x14ac:dyDescent="0.25">
      <c r="A18" s="3"/>
      <c r="B18" s="36"/>
      <c r="C18" s="3"/>
      <c r="D18" s="133"/>
      <c r="E18" s="133"/>
    </row>
    <row r="19" spans="1:5" s="8" customFormat="1" x14ac:dyDescent="0.25">
      <c r="A19" s="3"/>
      <c r="B19" s="10"/>
      <c r="C19" s="3"/>
      <c r="D19" s="133"/>
      <c r="E19" s="133"/>
    </row>
    <row r="20" spans="1:5" s="8" customFormat="1" x14ac:dyDescent="0.25">
      <c r="A20" s="3"/>
      <c r="B20" s="10"/>
      <c r="C20" s="3"/>
      <c r="D20" s="133"/>
      <c r="E20" s="133"/>
    </row>
    <row r="21" spans="1:5" s="8" customFormat="1" x14ac:dyDescent="0.25">
      <c r="A21" s="3"/>
      <c r="B21" s="10"/>
      <c r="C21" s="3"/>
      <c r="D21" s="133"/>
      <c r="E21" s="133"/>
    </row>
    <row r="22" spans="1:5" s="8" customFormat="1" x14ac:dyDescent="0.25">
      <c r="A22" s="3"/>
      <c r="B22" s="10"/>
      <c r="C22" s="3"/>
      <c r="D22" s="133"/>
      <c r="E22" s="133"/>
    </row>
    <row r="23" spans="1:5" s="8" customFormat="1" x14ac:dyDescent="0.25">
      <c r="A23" s="3"/>
      <c r="B23" s="10"/>
      <c r="C23" s="3"/>
      <c r="D23" s="133"/>
      <c r="E23" s="133"/>
    </row>
    <row r="24" spans="1:5" s="8" customFormat="1" x14ac:dyDescent="0.25">
      <c r="A24" s="3"/>
      <c r="B24" s="10"/>
      <c r="C24" s="3"/>
      <c r="D24" s="133"/>
      <c r="E24" s="133"/>
    </row>
    <row r="25" spans="1:5" s="8" customFormat="1" x14ac:dyDescent="0.25">
      <c r="A25" s="3"/>
      <c r="B25" s="10"/>
      <c r="C25" s="3"/>
      <c r="D25" s="133"/>
      <c r="E25" s="133"/>
    </row>
    <row r="26" spans="1:5" s="8" customFormat="1" x14ac:dyDescent="0.25">
      <c r="A26" s="3"/>
      <c r="B26" s="10"/>
      <c r="C26" s="3"/>
      <c r="D26" s="133"/>
      <c r="E26" s="133"/>
    </row>
    <row r="27" spans="1:5" s="8" customFormat="1" x14ac:dyDescent="0.25">
      <c r="A27" s="3"/>
      <c r="B27" s="10"/>
      <c r="C27" s="3"/>
      <c r="D27" s="133"/>
      <c r="E27" s="133"/>
    </row>
    <row r="28" spans="1:5" s="8" customFormat="1" x14ac:dyDescent="0.25">
      <c r="A28" s="3"/>
      <c r="B28" s="10"/>
      <c r="C28" s="3"/>
      <c r="D28" s="133"/>
      <c r="E28" s="133"/>
    </row>
    <row r="29" spans="1:5" s="8" customFormat="1" x14ac:dyDescent="0.25">
      <c r="A29" s="3"/>
      <c r="B29" s="10"/>
      <c r="C29" s="3"/>
      <c r="D29" s="133"/>
      <c r="E29" s="133"/>
    </row>
    <row r="30" spans="1:5" s="8" customFormat="1" x14ac:dyDescent="0.25">
      <c r="A30" s="3"/>
      <c r="B30" s="10"/>
      <c r="C30" s="3"/>
      <c r="D30" s="133"/>
      <c r="E30" s="133"/>
    </row>
    <row r="31" spans="1:5" s="8" customFormat="1" x14ac:dyDescent="0.25">
      <c r="A31" s="3"/>
      <c r="B31" s="10"/>
      <c r="C31" s="3"/>
      <c r="D31" s="133"/>
      <c r="E31" s="133"/>
    </row>
    <row r="32" spans="1:5" s="8" customFormat="1" x14ac:dyDescent="0.25">
      <c r="A32" s="3"/>
      <c r="B32" s="10"/>
      <c r="C32" s="3"/>
      <c r="D32" s="133"/>
      <c r="E32" s="133"/>
    </row>
    <row r="33" spans="1:5" s="8" customFormat="1" x14ac:dyDescent="0.25">
      <c r="A33" s="3"/>
      <c r="B33" s="10"/>
      <c r="C33" s="3"/>
      <c r="D33" s="133"/>
      <c r="E33" s="133"/>
    </row>
    <row r="34" spans="1:5" s="8" customFormat="1" x14ac:dyDescent="0.25">
      <c r="A34" s="3"/>
      <c r="B34" s="10"/>
      <c r="C34" s="3"/>
      <c r="D34" s="133"/>
      <c r="E34" s="133"/>
    </row>
    <row r="35" spans="1:5" s="8" customFormat="1" x14ac:dyDescent="0.25">
      <c r="A35" s="3"/>
      <c r="B35" s="10"/>
      <c r="C35" s="3"/>
      <c r="D35" s="133"/>
      <c r="E35" s="133"/>
    </row>
    <row r="36" spans="1:5" s="8" customFormat="1" x14ac:dyDescent="0.25">
      <c r="A36" s="3"/>
      <c r="B36" s="10"/>
      <c r="C36" s="3"/>
      <c r="D36" s="133"/>
      <c r="E36" s="133"/>
    </row>
    <row r="37" spans="1:5" s="8" customFormat="1" x14ac:dyDescent="0.25">
      <c r="A37" s="3"/>
      <c r="B37" s="10"/>
      <c r="C37" s="3"/>
      <c r="D37" s="133"/>
      <c r="E37" s="133"/>
    </row>
    <row r="38" spans="1:5" s="8" customFormat="1" x14ac:dyDescent="0.25">
      <c r="A38" s="3"/>
      <c r="B38" s="10"/>
      <c r="C38" s="3"/>
      <c r="D38" s="133"/>
      <c r="E38" s="133"/>
    </row>
    <row r="39" spans="1:5" s="8" customFormat="1" x14ac:dyDescent="0.25">
      <c r="A39" s="3"/>
      <c r="B39" s="10"/>
      <c r="C39" s="3"/>
      <c r="D39" s="133"/>
      <c r="E39" s="133"/>
    </row>
    <row r="40" spans="1:5" s="8" customFormat="1" x14ac:dyDescent="0.25">
      <c r="A40" s="3"/>
      <c r="B40" s="10"/>
      <c r="C40" s="3"/>
      <c r="D40" s="133"/>
      <c r="E40" s="133"/>
    </row>
    <row r="41" spans="1:5" s="8" customFormat="1" x14ac:dyDescent="0.25">
      <c r="A41" s="3"/>
      <c r="B41" s="10"/>
      <c r="C41" s="3"/>
      <c r="D41" s="133"/>
      <c r="E41" s="133"/>
    </row>
    <row r="42" spans="1:5" s="8" customFormat="1" x14ac:dyDescent="0.25">
      <c r="A42" s="3"/>
      <c r="B42" s="10"/>
      <c r="C42" s="3"/>
      <c r="D42" s="133"/>
      <c r="E42" s="133"/>
    </row>
    <row r="43" spans="1:5" s="8" customFormat="1" x14ac:dyDescent="0.25">
      <c r="A43" s="3"/>
      <c r="B43" s="10"/>
      <c r="C43" s="3"/>
      <c r="D43" s="133"/>
      <c r="E43" s="133"/>
    </row>
    <row r="44" spans="1:5" s="8" customFormat="1" x14ac:dyDescent="0.25">
      <c r="A44" s="3"/>
      <c r="B44" s="10"/>
      <c r="C44" s="3"/>
      <c r="D44" s="133"/>
      <c r="E44" s="133"/>
    </row>
    <row r="45" spans="1:5" s="8" customFormat="1" x14ac:dyDescent="0.25">
      <c r="A45" s="3"/>
      <c r="B45" s="10"/>
      <c r="C45" s="3"/>
      <c r="D45" s="133"/>
      <c r="E45" s="133"/>
    </row>
    <row r="46" spans="1:5" s="8" customFormat="1" x14ac:dyDescent="0.25">
      <c r="A46" s="3"/>
      <c r="B46" s="10"/>
      <c r="C46" s="3"/>
      <c r="D46" s="133"/>
      <c r="E46" s="133"/>
    </row>
    <row r="47" spans="1:5" s="8" customFormat="1" x14ac:dyDescent="0.25">
      <c r="A47" s="3"/>
      <c r="B47" s="10"/>
      <c r="C47" s="3"/>
      <c r="D47" s="133"/>
      <c r="E47" s="133"/>
    </row>
    <row r="48" spans="1:5" s="8" customFormat="1" x14ac:dyDescent="0.25">
      <c r="A48" s="3"/>
      <c r="B48" s="10"/>
      <c r="C48" s="3"/>
      <c r="D48" s="133"/>
      <c r="E48" s="133"/>
    </row>
    <row r="49" spans="1:5" s="8" customFormat="1" x14ac:dyDescent="0.25">
      <c r="A49" s="3"/>
      <c r="B49" s="10"/>
      <c r="C49" s="3"/>
      <c r="D49" s="133"/>
      <c r="E49" s="133"/>
    </row>
    <row r="50" spans="1:5" s="8" customFormat="1" x14ac:dyDescent="0.25">
      <c r="A50" s="3"/>
      <c r="B50" s="10"/>
      <c r="C50" s="3"/>
      <c r="D50" s="133"/>
      <c r="E50" s="133"/>
    </row>
    <row r="51" spans="1:5" s="8" customFormat="1" x14ac:dyDescent="0.25">
      <c r="A51" s="3"/>
      <c r="B51" s="10"/>
      <c r="C51" s="3"/>
      <c r="D51" s="133"/>
      <c r="E51" s="133"/>
    </row>
    <row r="52" spans="1:5" s="8" customFormat="1" x14ac:dyDescent="0.25">
      <c r="A52" s="3"/>
      <c r="B52" s="10"/>
      <c r="C52" s="3"/>
      <c r="D52" s="133"/>
      <c r="E52" s="133"/>
    </row>
    <row r="53" spans="1:5" s="8" customFormat="1" x14ac:dyDescent="0.25">
      <c r="A53" s="3"/>
      <c r="B53" s="10"/>
      <c r="C53" s="3"/>
      <c r="D53" s="133"/>
      <c r="E53" s="133"/>
    </row>
    <row r="54" spans="1:5" s="8" customFormat="1" x14ac:dyDescent="0.25">
      <c r="A54" s="3"/>
      <c r="B54" s="10"/>
      <c r="C54" s="3"/>
      <c r="D54" s="133"/>
      <c r="E54" s="133"/>
    </row>
    <row r="55" spans="1:5" s="8" customFormat="1" x14ac:dyDescent="0.25">
      <c r="A55" s="3"/>
      <c r="B55" s="10"/>
      <c r="C55" s="3"/>
      <c r="D55" s="133"/>
      <c r="E55" s="133"/>
    </row>
    <row r="56" spans="1:5" s="8" customFormat="1" x14ac:dyDescent="0.25">
      <c r="A56" s="3"/>
      <c r="B56" s="10"/>
      <c r="C56" s="3"/>
      <c r="D56" s="133"/>
      <c r="E56" s="133"/>
    </row>
    <row r="57" spans="1:5" s="8" customFormat="1" x14ac:dyDescent="0.25">
      <c r="A57" s="3"/>
      <c r="B57" s="10"/>
      <c r="C57" s="3"/>
      <c r="D57" s="133"/>
      <c r="E57" s="133"/>
    </row>
    <row r="58" spans="1:5" s="8" customFormat="1" x14ac:dyDescent="0.25">
      <c r="A58" s="3"/>
      <c r="B58" s="10"/>
      <c r="C58" s="3"/>
      <c r="D58" s="133"/>
      <c r="E58" s="133"/>
    </row>
    <row r="59" spans="1:5" s="8" customFormat="1" x14ac:dyDescent="0.25">
      <c r="A59" s="3"/>
      <c r="B59" s="10"/>
      <c r="C59" s="3"/>
      <c r="D59" s="133"/>
      <c r="E59" s="133"/>
    </row>
    <row r="60" spans="1:5" s="8" customFormat="1" x14ac:dyDescent="0.25">
      <c r="A60" s="3"/>
      <c r="B60" s="10"/>
      <c r="C60" s="3"/>
      <c r="D60" s="133"/>
      <c r="E60" s="133"/>
    </row>
    <row r="61" spans="1:5" s="8" customFormat="1" x14ac:dyDescent="0.25">
      <c r="A61" s="3"/>
      <c r="B61" s="10"/>
      <c r="C61" s="3"/>
      <c r="D61" s="133"/>
      <c r="E61" s="133"/>
    </row>
    <row r="62" spans="1:5" s="8" customFormat="1" x14ac:dyDescent="0.25">
      <c r="A62" s="3"/>
      <c r="B62" s="10"/>
      <c r="C62" s="3"/>
      <c r="D62" s="133"/>
      <c r="E62" s="133"/>
    </row>
    <row r="63" spans="1:5" s="8" customFormat="1" x14ac:dyDescent="0.25">
      <c r="A63" s="3"/>
      <c r="B63" s="10"/>
      <c r="C63" s="3"/>
      <c r="D63" s="133"/>
      <c r="E63" s="133"/>
    </row>
    <row r="64" spans="1:5" s="8" customFormat="1" x14ac:dyDescent="0.25">
      <c r="A64" s="3"/>
      <c r="B64" s="10"/>
      <c r="C64" s="3"/>
      <c r="D64" s="133"/>
      <c r="E64" s="133"/>
    </row>
    <row r="65" spans="1:5" s="8" customFormat="1" x14ac:dyDescent="0.25">
      <c r="A65" s="3"/>
      <c r="B65" s="10"/>
      <c r="C65" s="3"/>
      <c r="D65" s="133"/>
      <c r="E65" s="133"/>
    </row>
    <row r="66" spans="1:5" s="8" customFormat="1" x14ac:dyDescent="0.25">
      <c r="A66" s="3"/>
      <c r="B66" s="10"/>
      <c r="C66" s="3"/>
      <c r="D66" s="133"/>
      <c r="E66" s="133"/>
    </row>
    <row r="67" spans="1:5" s="8" customFormat="1" x14ac:dyDescent="0.25">
      <c r="A67" s="3"/>
      <c r="B67" s="10"/>
      <c r="C67" s="3"/>
      <c r="D67" s="133"/>
      <c r="E67" s="133"/>
    </row>
    <row r="68" spans="1:5" s="8" customFormat="1" x14ac:dyDescent="0.25">
      <c r="A68" s="3"/>
      <c r="B68" s="10"/>
      <c r="C68" s="3"/>
      <c r="D68" s="133"/>
      <c r="E68" s="133"/>
    </row>
    <row r="69" spans="1:5" s="8" customFormat="1" x14ac:dyDescent="0.25">
      <c r="A69" s="3"/>
      <c r="B69" s="10"/>
      <c r="C69" s="3"/>
      <c r="D69" s="133"/>
      <c r="E69" s="133"/>
    </row>
    <row r="70" spans="1:5" s="8" customFormat="1" x14ac:dyDescent="0.25">
      <c r="A70" s="3"/>
      <c r="B70" s="10"/>
      <c r="C70" s="3"/>
      <c r="D70" s="133"/>
      <c r="E70" s="133"/>
    </row>
    <row r="71" spans="1:5" s="8" customFormat="1" x14ac:dyDescent="0.25">
      <c r="A71" s="3"/>
      <c r="B71" s="10"/>
      <c r="C71" s="3"/>
      <c r="D71" s="133"/>
      <c r="E71" s="133"/>
    </row>
    <row r="72" spans="1:5" s="8" customFormat="1" x14ac:dyDescent="0.25">
      <c r="A72" s="3"/>
      <c r="B72" s="10"/>
      <c r="C72" s="3"/>
      <c r="D72" s="133"/>
      <c r="E72" s="133"/>
    </row>
    <row r="73" spans="1:5" s="8" customFormat="1" x14ac:dyDescent="0.25">
      <c r="A73" s="3"/>
      <c r="B73" s="10"/>
      <c r="C73" s="3"/>
      <c r="D73" s="133"/>
      <c r="E73" s="133"/>
    </row>
    <row r="74" spans="1:5" s="8" customFormat="1" x14ac:dyDescent="0.25">
      <c r="A74" s="3"/>
      <c r="B74" s="10"/>
      <c r="C74" s="3"/>
      <c r="D74" s="133"/>
      <c r="E74" s="133"/>
    </row>
    <row r="75" spans="1:5" s="8" customFormat="1" x14ac:dyDescent="0.25">
      <c r="A75" s="3"/>
      <c r="B75" s="10"/>
      <c r="C75" s="3"/>
      <c r="D75" s="133"/>
      <c r="E75" s="133"/>
    </row>
    <row r="76" spans="1:5" s="8" customFormat="1" x14ac:dyDescent="0.25">
      <c r="A76" s="3"/>
      <c r="B76" s="10"/>
      <c r="C76" s="3"/>
      <c r="D76" s="133"/>
      <c r="E76" s="133"/>
    </row>
    <row r="77" spans="1:5" s="8" customFormat="1" x14ac:dyDescent="0.25">
      <c r="A77" s="3"/>
      <c r="B77" s="10"/>
      <c r="C77" s="3"/>
      <c r="D77" s="133"/>
      <c r="E77" s="133"/>
    </row>
    <row r="78" spans="1:5" s="8" customFormat="1" x14ac:dyDescent="0.25">
      <c r="A78" s="3"/>
      <c r="B78" s="10"/>
      <c r="C78" s="3"/>
      <c r="D78" s="133"/>
      <c r="E78" s="133"/>
    </row>
    <row r="79" spans="1:5" s="8" customFormat="1" x14ac:dyDescent="0.25">
      <c r="A79" s="3"/>
      <c r="B79" s="10"/>
      <c r="C79" s="3"/>
      <c r="D79" s="133"/>
      <c r="E79" s="133"/>
    </row>
    <row r="80" spans="1:5" s="8" customFormat="1" x14ac:dyDescent="0.25">
      <c r="A80" s="3"/>
      <c r="B80" s="10"/>
      <c r="C80" s="3"/>
      <c r="D80" s="133"/>
      <c r="E80" s="133"/>
    </row>
    <row r="81" spans="1:5" s="8" customFormat="1" x14ac:dyDescent="0.25">
      <c r="A81" s="3"/>
      <c r="B81" s="10"/>
      <c r="C81" s="3"/>
      <c r="D81" s="133"/>
      <c r="E81" s="133"/>
    </row>
    <row r="82" spans="1:5" s="8" customFormat="1" x14ac:dyDescent="0.25">
      <c r="A82" s="3"/>
      <c r="B82" s="10"/>
      <c r="C82" s="3"/>
      <c r="D82" s="133"/>
      <c r="E82" s="133"/>
    </row>
    <row r="83" spans="1:5" s="8" customFormat="1" x14ac:dyDescent="0.25">
      <c r="A83" s="3"/>
      <c r="B83" s="10"/>
      <c r="C83" s="3"/>
      <c r="D83" s="133"/>
      <c r="E83" s="133"/>
    </row>
    <row r="84" spans="1:5" s="8" customFormat="1" x14ac:dyDescent="0.25">
      <c r="A84" s="3"/>
      <c r="B84" s="10"/>
      <c r="C84" s="3"/>
      <c r="D84" s="133"/>
      <c r="E84" s="133"/>
    </row>
    <row r="85" spans="1:5" s="8" customFormat="1" x14ac:dyDescent="0.25">
      <c r="A85" s="3"/>
      <c r="B85" s="10"/>
      <c r="C85" s="3"/>
      <c r="D85" s="133"/>
      <c r="E85" s="133"/>
    </row>
    <row r="86" spans="1:5" s="8" customFormat="1" x14ac:dyDescent="0.25">
      <c r="A86" s="3"/>
      <c r="B86" s="10"/>
      <c r="C86" s="3"/>
      <c r="D86" s="133"/>
      <c r="E86" s="133"/>
    </row>
    <row r="87" spans="1:5" s="8" customFormat="1" x14ac:dyDescent="0.25">
      <c r="A87" s="3"/>
      <c r="B87" s="10"/>
      <c r="C87" s="3"/>
      <c r="D87" s="133"/>
      <c r="E87" s="133"/>
    </row>
    <row r="88" spans="1:5" s="8" customFormat="1" x14ac:dyDescent="0.25">
      <c r="A88" s="3"/>
      <c r="B88" s="10"/>
      <c r="C88" s="3"/>
      <c r="D88" s="133"/>
      <c r="E88" s="133"/>
    </row>
    <row r="89" spans="1:5" s="8" customFormat="1" x14ac:dyDescent="0.25">
      <c r="A89" s="3"/>
      <c r="B89" s="10"/>
      <c r="C89" s="3"/>
      <c r="D89" s="133"/>
      <c r="E89" s="133"/>
    </row>
    <row r="90" spans="1:5" s="8" customFormat="1" x14ac:dyDescent="0.25">
      <c r="A90" s="3"/>
      <c r="B90" s="10"/>
      <c r="C90" s="3"/>
      <c r="D90" s="133"/>
      <c r="E90" s="133"/>
    </row>
    <row r="91" spans="1:5" s="8" customFormat="1" x14ac:dyDescent="0.25">
      <c r="A91" s="3"/>
      <c r="B91" s="10"/>
      <c r="C91" s="3"/>
      <c r="D91" s="133"/>
      <c r="E91" s="133"/>
    </row>
    <row r="92" spans="1:5" s="8" customFormat="1" x14ac:dyDescent="0.25">
      <c r="A92" s="3"/>
      <c r="B92" s="10"/>
      <c r="C92" s="3"/>
      <c r="D92" s="133"/>
      <c r="E92" s="133"/>
    </row>
    <row r="93" spans="1:5" s="8" customFormat="1" x14ac:dyDescent="0.25">
      <c r="A93" s="3"/>
      <c r="B93" s="10"/>
      <c r="C93" s="3"/>
      <c r="D93" s="133"/>
      <c r="E93" s="133"/>
    </row>
    <row r="94" spans="1:5" s="8" customFormat="1" x14ac:dyDescent="0.25">
      <c r="A94" s="3"/>
      <c r="B94" s="10"/>
      <c r="C94" s="3"/>
      <c r="D94" s="133"/>
      <c r="E94" s="133"/>
    </row>
    <row r="95" spans="1:5" s="8" customFormat="1" x14ac:dyDescent="0.25">
      <c r="A95" s="3"/>
      <c r="B95" s="10"/>
      <c r="C95" s="3"/>
      <c r="D95" s="133"/>
      <c r="E95" s="133"/>
    </row>
    <row r="96" spans="1:5" s="8" customFormat="1" x14ac:dyDescent="0.25">
      <c r="A96" s="3"/>
      <c r="B96" s="10"/>
      <c r="C96" s="3"/>
      <c r="D96" s="133"/>
      <c r="E96" s="133"/>
    </row>
    <row r="97" spans="1:5" s="8" customFormat="1" x14ac:dyDescent="0.25">
      <c r="A97" s="3"/>
      <c r="B97" s="10"/>
      <c r="C97" s="3"/>
      <c r="D97" s="133"/>
      <c r="E97" s="133"/>
    </row>
    <row r="98" spans="1:5" s="8" customFormat="1" x14ac:dyDescent="0.25">
      <c r="A98" s="3"/>
      <c r="B98" s="10"/>
      <c r="C98" s="3"/>
      <c r="D98" s="133"/>
      <c r="E98" s="133"/>
    </row>
    <row r="99" spans="1:5" s="8" customFormat="1" x14ac:dyDescent="0.25">
      <c r="A99" s="3"/>
      <c r="B99" s="10"/>
      <c r="C99" s="3"/>
      <c r="D99" s="133"/>
      <c r="E99" s="133"/>
    </row>
    <row r="100" spans="1:5" s="8" customFormat="1" x14ac:dyDescent="0.25">
      <c r="A100" s="3"/>
      <c r="B100" s="10"/>
      <c r="C100" s="3"/>
      <c r="D100" s="133"/>
      <c r="E100" s="133"/>
    </row>
    <row r="101" spans="1:5" s="8" customFormat="1" x14ac:dyDescent="0.25">
      <c r="A101" s="3"/>
      <c r="B101" s="10"/>
      <c r="C101" s="3"/>
      <c r="D101" s="133"/>
      <c r="E101" s="133"/>
    </row>
    <row r="102" spans="1:5" s="8" customFormat="1" x14ac:dyDescent="0.25">
      <c r="A102" s="3"/>
      <c r="B102" s="10"/>
      <c r="C102" s="3"/>
      <c r="D102" s="133"/>
      <c r="E102" s="133"/>
    </row>
    <row r="103" spans="1:5" s="8" customFormat="1" x14ac:dyDescent="0.25">
      <c r="A103" s="3"/>
      <c r="B103" s="10"/>
      <c r="C103" s="3"/>
      <c r="D103" s="133"/>
      <c r="E103" s="133"/>
    </row>
    <row r="104" spans="1:5" s="8" customFormat="1" x14ac:dyDescent="0.25">
      <c r="A104" s="3"/>
      <c r="B104" s="10"/>
      <c r="C104" s="3"/>
      <c r="D104" s="133"/>
      <c r="E104" s="133"/>
    </row>
    <row r="105" spans="1:5" s="8" customFormat="1" x14ac:dyDescent="0.25">
      <c r="A105" s="3"/>
      <c r="B105" s="10"/>
      <c r="C105" s="3"/>
      <c r="D105" s="133"/>
      <c r="E105" s="133"/>
    </row>
    <row r="106" spans="1:5" s="8" customFormat="1" x14ac:dyDescent="0.25">
      <c r="A106" s="3"/>
      <c r="B106" s="10"/>
      <c r="C106" s="3"/>
      <c r="D106" s="133"/>
      <c r="E106" s="133"/>
    </row>
    <row r="107" spans="1:5" s="8" customFormat="1" x14ac:dyDescent="0.25">
      <c r="A107" s="3"/>
      <c r="B107" s="10"/>
      <c r="C107" s="3"/>
      <c r="D107" s="133"/>
      <c r="E107" s="133"/>
    </row>
    <row r="108" spans="1:5" s="8" customFormat="1" x14ac:dyDescent="0.25">
      <c r="A108" s="3"/>
      <c r="B108" s="10"/>
      <c r="C108" s="3"/>
      <c r="D108" s="133"/>
      <c r="E108" s="133"/>
    </row>
    <row r="109" spans="1:5" s="8" customFormat="1" x14ac:dyDescent="0.25">
      <c r="A109" s="3"/>
      <c r="B109" s="10"/>
      <c r="C109" s="3"/>
      <c r="D109" s="133"/>
      <c r="E109" s="133"/>
    </row>
    <row r="110" spans="1:5" s="8" customFormat="1" x14ac:dyDescent="0.25">
      <c r="A110" s="3"/>
      <c r="B110" s="10"/>
      <c r="C110" s="3"/>
      <c r="D110" s="133"/>
      <c r="E110" s="133"/>
    </row>
    <row r="111" spans="1:5" s="8" customFormat="1" x14ac:dyDescent="0.25">
      <c r="A111" s="3"/>
      <c r="B111" s="10"/>
      <c r="C111" s="3"/>
      <c r="D111" s="133"/>
      <c r="E111" s="133"/>
    </row>
    <row r="112" spans="1:5" s="8" customFormat="1" x14ac:dyDescent="0.25">
      <c r="A112" s="3"/>
      <c r="B112" s="10"/>
      <c r="C112" s="3"/>
      <c r="D112" s="133"/>
      <c r="E112" s="133"/>
    </row>
    <row r="113" spans="1:5" s="8" customFormat="1" x14ac:dyDescent="0.25">
      <c r="A113" s="3"/>
      <c r="B113" s="10"/>
      <c r="C113" s="3"/>
      <c r="D113" s="133"/>
      <c r="E113" s="133"/>
    </row>
    <row r="114" spans="1:5" s="8" customFormat="1" x14ac:dyDescent="0.25">
      <c r="A114" s="3"/>
      <c r="B114" s="10"/>
      <c r="C114" s="3"/>
      <c r="D114" s="133"/>
      <c r="E114" s="133"/>
    </row>
    <row r="115" spans="1:5" s="8" customFormat="1" x14ac:dyDescent="0.25">
      <c r="A115" s="3"/>
      <c r="B115" s="10"/>
      <c r="C115" s="3"/>
      <c r="D115" s="133"/>
      <c r="E115" s="133"/>
    </row>
    <row r="116" spans="1:5" s="8" customFormat="1" x14ac:dyDescent="0.25">
      <c r="A116" s="3"/>
      <c r="B116" s="10"/>
      <c r="C116" s="3"/>
      <c r="D116" s="133"/>
      <c r="E116" s="133"/>
    </row>
    <row r="117" spans="1:5" s="8" customFormat="1" x14ac:dyDescent="0.25">
      <c r="A117" s="3"/>
      <c r="B117" s="10"/>
      <c r="C117" s="3"/>
      <c r="D117" s="133"/>
      <c r="E117" s="133"/>
    </row>
    <row r="118" spans="1:5" s="8" customFormat="1" x14ac:dyDescent="0.25">
      <c r="A118" s="3"/>
      <c r="B118" s="10"/>
      <c r="C118" s="3"/>
      <c r="D118" s="133"/>
      <c r="E118" s="133"/>
    </row>
    <row r="119" spans="1:5" s="8" customFormat="1" x14ac:dyDescent="0.25">
      <c r="A119" s="3"/>
      <c r="B119" s="10"/>
      <c r="C119" s="3"/>
      <c r="D119" s="133"/>
      <c r="E119" s="133"/>
    </row>
    <row r="120" spans="1:5" s="8" customFormat="1" x14ac:dyDescent="0.25">
      <c r="A120" s="3"/>
      <c r="B120" s="10"/>
      <c r="C120" s="3"/>
      <c r="D120" s="133"/>
      <c r="E120" s="133"/>
    </row>
    <row r="121" spans="1:5" s="8" customFormat="1" x14ac:dyDescent="0.25">
      <c r="A121" s="3"/>
      <c r="B121" s="10"/>
      <c r="C121" s="3"/>
      <c r="D121" s="133"/>
      <c r="E121" s="133"/>
    </row>
    <row r="122" spans="1:5" s="8" customFormat="1" x14ac:dyDescent="0.25">
      <c r="A122" s="3"/>
      <c r="B122" s="10"/>
      <c r="C122" s="3"/>
      <c r="D122" s="133"/>
      <c r="E122" s="133"/>
    </row>
    <row r="123" spans="1:5" s="8" customFormat="1" x14ac:dyDescent="0.25">
      <c r="A123" s="3"/>
      <c r="B123" s="10"/>
      <c r="C123" s="3"/>
      <c r="D123" s="133"/>
      <c r="E123" s="133"/>
    </row>
    <row r="124" spans="1:5" s="8" customFormat="1" x14ac:dyDescent="0.25">
      <c r="A124" s="3"/>
      <c r="B124" s="10"/>
      <c r="C124" s="3"/>
      <c r="D124" s="133"/>
      <c r="E124" s="133"/>
    </row>
    <row r="125" spans="1:5" s="8" customFormat="1" x14ac:dyDescent="0.25">
      <c r="A125" s="3"/>
      <c r="B125" s="10"/>
      <c r="C125" s="3"/>
      <c r="D125" s="133"/>
      <c r="E125" s="133"/>
    </row>
    <row r="126" spans="1:5" s="8" customFormat="1" x14ac:dyDescent="0.25">
      <c r="A126" s="3"/>
      <c r="B126" s="10"/>
      <c r="C126" s="3"/>
      <c r="D126" s="133"/>
      <c r="E126" s="133"/>
    </row>
    <row r="127" spans="1:5" s="8" customFormat="1" x14ac:dyDescent="0.25">
      <c r="A127" s="3"/>
      <c r="B127" s="10"/>
      <c r="C127" s="3"/>
      <c r="D127" s="133"/>
      <c r="E127" s="133"/>
    </row>
    <row r="128" spans="1:5" s="8" customFormat="1" x14ac:dyDescent="0.25">
      <c r="A128" s="3"/>
      <c r="B128" s="10"/>
      <c r="C128" s="3"/>
      <c r="D128" s="133"/>
      <c r="E128" s="133"/>
    </row>
    <row r="129" spans="1:5" s="8" customFormat="1" x14ac:dyDescent="0.25">
      <c r="A129" s="3"/>
      <c r="B129" s="10"/>
      <c r="C129" s="3"/>
      <c r="D129" s="133"/>
      <c r="E129" s="133"/>
    </row>
    <row r="130" spans="1:5" s="8" customFormat="1" x14ac:dyDescent="0.25">
      <c r="A130" s="3"/>
      <c r="B130" s="10"/>
      <c r="C130" s="3"/>
      <c r="D130" s="133"/>
      <c r="E130" s="133"/>
    </row>
    <row r="131" spans="1:5" s="8" customFormat="1" x14ac:dyDescent="0.25">
      <c r="A131" s="3"/>
      <c r="B131" s="10"/>
      <c r="C131" s="3"/>
      <c r="D131" s="133"/>
      <c r="E131" s="133"/>
    </row>
    <row r="132" spans="1:5" s="8" customFormat="1" x14ac:dyDescent="0.25">
      <c r="A132" s="3"/>
      <c r="B132" s="10"/>
      <c r="C132" s="3"/>
      <c r="D132" s="133"/>
      <c r="E132" s="133"/>
    </row>
    <row r="133" spans="1:5" s="8" customFormat="1" x14ac:dyDescent="0.25">
      <c r="A133" s="3"/>
      <c r="B133" s="10"/>
      <c r="C133" s="3"/>
      <c r="D133" s="133"/>
      <c r="E133" s="133"/>
    </row>
    <row r="134" spans="1:5" s="8" customFormat="1" x14ac:dyDescent="0.25">
      <c r="A134" s="3"/>
      <c r="B134" s="10"/>
      <c r="C134" s="3"/>
      <c r="D134" s="133"/>
      <c r="E134" s="133"/>
    </row>
    <row r="135" spans="1:5" s="8" customFormat="1" x14ac:dyDescent="0.25">
      <c r="A135" s="3"/>
      <c r="B135" s="10"/>
      <c r="C135" s="3"/>
      <c r="D135" s="133"/>
      <c r="E135" s="133"/>
    </row>
    <row r="136" spans="1:5" s="8" customFormat="1" x14ac:dyDescent="0.25">
      <c r="A136" s="3"/>
      <c r="B136" s="10"/>
      <c r="C136" s="3"/>
      <c r="D136" s="133"/>
      <c r="E136" s="133"/>
    </row>
    <row r="137" spans="1:5" s="8" customFormat="1" x14ac:dyDescent="0.25">
      <c r="A137" s="3"/>
      <c r="B137" s="10"/>
      <c r="C137" s="3"/>
      <c r="D137" s="133"/>
      <c r="E137" s="133"/>
    </row>
    <row r="138" spans="1:5" s="8" customFormat="1" x14ac:dyDescent="0.25">
      <c r="A138" s="3"/>
      <c r="B138" s="10"/>
      <c r="C138" s="3"/>
      <c r="D138" s="133"/>
      <c r="E138" s="133"/>
    </row>
    <row r="139" spans="1:5" s="8" customFormat="1" x14ac:dyDescent="0.25">
      <c r="A139" s="3"/>
      <c r="B139" s="10"/>
      <c r="C139" s="3"/>
      <c r="D139" s="133"/>
      <c r="E139" s="133"/>
    </row>
    <row r="140" spans="1:5" s="8" customFormat="1" x14ac:dyDescent="0.25">
      <c r="A140" s="3"/>
      <c r="B140" s="10"/>
      <c r="C140" s="3"/>
      <c r="D140" s="133"/>
      <c r="E140" s="133"/>
    </row>
    <row r="141" spans="1:5" s="8" customFormat="1" x14ac:dyDescent="0.25">
      <c r="A141" s="3"/>
      <c r="B141" s="10"/>
      <c r="C141" s="3"/>
      <c r="D141" s="133"/>
      <c r="E141" s="133"/>
    </row>
    <row r="142" spans="1:5" s="8" customFormat="1" x14ac:dyDescent="0.25">
      <c r="A142" s="3"/>
      <c r="B142" s="10"/>
      <c r="C142" s="3"/>
      <c r="D142" s="133"/>
      <c r="E142" s="133"/>
    </row>
    <row r="143" spans="1:5" s="8" customFormat="1" x14ac:dyDescent="0.25">
      <c r="A143" s="3"/>
      <c r="B143" s="10"/>
      <c r="C143" s="3"/>
      <c r="D143" s="133"/>
      <c r="E143" s="133"/>
    </row>
    <row r="144" spans="1:5" s="8" customFormat="1" x14ac:dyDescent="0.25">
      <c r="A144" s="3"/>
      <c r="B144" s="10"/>
      <c r="C144" s="3"/>
      <c r="D144" s="133"/>
      <c r="E144" s="133"/>
    </row>
    <row r="145" spans="1:5" s="8" customFormat="1" x14ac:dyDescent="0.25">
      <c r="A145" s="3"/>
      <c r="B145" s="10"/>
      <c r="C145" s="3"/>
      <c r="D145" s="133"/>
      <c r="E145" s="133"/>
    </row>
    <row r="146" spans="1:5" s="8" customFormat="1" x14ac:dyDescent="0.25">
      <c r="A146" s="3"/>
      <c r="B146" s="10"/>
      <c r="C146" s="3"/>
      <c r="D146" s="133"/>
      <c r="E146" s="133"/>
    </row>
    <row r="147" spans="1:5" s="8" customFormat="1" x14ac:dyDescent="0.25">
      <c r="A147" s="3"/>
      <c r="B147" s="10"/>
      <c r="C147" s="3"/>
      <c r="D147" s="133"/>
      <c r="E147" s="133"/>
    </row>
    <row r="148" spans="1:5" s="8" customFormat="1" x14ac:dyDescent="0.25">
      <c r="A148" s="3"/>
      <c r="B148" s="10"/>
      <c r="C148" s="3"/>
      <c r="D148" s="133"/>
      <c r="E148" s="133"/>
    </row>
    <row r="149" spans="1:5" s="8" customFormat="1" x14ac:dyDescent="0.25">
      <c r="A149" s="3"/>
      <c r="B149" s="10"/>
      <c r="C149" s="3"/>
      <c r="D149" s="133"/>
      <c r="E149" s="133"/>
    </row>
    <row r="150" spans="1:5" s="8" customFormat="1" x14ac:dyDescent="0.25">
      <c r="A150" s="3"/>
      <c r="B150" s="10"/>
      <c r="C150" s="3"/>
      <c r="D150" s="133"/>
      <c r="E150" s="133"/>
    </row>
    <row r="151" spans="1:5" s="8" customFormat="1" x14ac:dyDescent="0.25">
      <c r="A151" s="3"/>
      <c r="B151" s="10"/>
      <c r="C151" s="3"/>
      <c r="D151" s="133"/>
      <c r="E151" s="133"/>
    </row>
    <row r="152" spans="1:5" s="8" customFormat="1" x14ac:dyDescent="0.25">
      <c r="A152" s="3"/>
      <c r="B152" s="10"/>
      <c r="C152" s="3"/>
      <c r="D152" s="133"/>
      <c r="E152" s="133"/>
    </row>
    <row r="153" spans="1:5" s="8" customFormat="1" x14ac:dyDescent="0.25">
      <c r="A153" s="3"/>
      <c r="B153" s="10"/>
      <c r="C153" s="3"/>
      <c r="D153" s="133"/>
      <c r="E153" s="133"/>
    </row>
    <row r="154" spans="1:5" s="8" customFormat="1" x14ac:dyDescent="0.25">
      <c r="A154" s="3"/>
      <c r="B154" s="10"/>
      <c r="C154" s="3"/>
      <c r="D154" s="133"/>
      <c r="E154" s="133"/>
    </row>
    <row r="155" spans="1:5" s="8" customFormat="1" x14ac:dyDescent="0.25">
      <c r="A155" s="3"/>
      <c r="B155" s="10"/>
      <c r="C155" s="3"/>
      <c r="D155" s="133"/>
      <c r="E155" s="133"/>
    </row>
    <row r="156" spans="1:5" s="8" customFormat="1" x14ac:dyDescent="0.25">
      <c r="A156" s="3"/>
      <c r="B156" s="10"/>
      <c r="C156" s="3"/>
      <c r="D156" s="133"/>
      <c r="E156" s="133"/>
    </row>
    <row r="157" spans="1:5" s="8" customFormat="1" x14ac:dyDescent="0.25">
      <c r="A157" s="3"/>
      <c r="B157" s="10"/>
      <c r="C157" s="3"/>
      <c r="D157" s="133"/>
      <c r="E157" s="133"/>
    </row>
    <row r="158" spans="1:5" s="8" customFormat="1" x14ac:dyDescent="0.25">
      <c r="A158" s="3"/>
      <c r="B158" s="10"/>
      <c r="C158" s="3"/>
      <c r="D158" s="133"/>
      <c r="E158" s="133"/>
    </row>
    <row r="159" spans="1:5" s="8" customFormat="1" x14ac:dyDescent="0.25">
      <c r="A159" s="3"/>
      <c r="B159" s="10"/>
      <c r="C159" s="3"/>
      <c r="D159" s="133"/>
      <c r="E159" s="133"/>
    </row>
    <row r="160" spans="1:5" s="8" customFormat="1" x14ac:dyDescent="0.25">
      <c r="A160" s="3"/>
      <c r="B160" s="10"/>
      <c r="C160" s="3"/>
      <c r="D160" s="133"/>
      <c r="E160" s="133"/>
    </row>
    <row r="161" spans="1:5" s="8" customFormat="1" x14ac:dyDescent="0.25">
      <c r="A161" s="3"/>
      <c r="B161" s="10"/>
      <c r="C161" s="3"/>
      <c r="D161" s="133"/>
      <c r="E161" s="133"/>
    </row>
    <row r="162" spans="1:5" s="8" customFormat="1" x14ac:dyDescent="0.25">
      <c r="A162" s="3"/>
      <c r="B162" s="10"/>
      <c r="C162" s="3"/>
      <c r="D162" s="133"/>
      <c r="E162" s="133"/>
    </row>
    <row r="163" spans="1:5" s="8" customFormat="1" x14ac:dyDescent="0.25">
      <c r="A163" s="3"/>
      <c r="B163" s="10"/>
      <c r="C163" s="3"/>
      <c r="D163" s="133"/>
      <c r="E163" s="133"/>
    </row>
    <row r="164" spans="1:5" s="8" customFormat="1" x14ac:dyDescent="0.25">
      <c r="A164" s="3"/>
      <c r="B164" s="10"/>
      <c r="C164" s="3"/>
      <c r="D164" s="133"/>
      <c r="E164" s="133"/>
    </row>
    <row r="165" spans="1:5" s="8" customFormat="1" x14ac:dyDescent="0.25">
      <c r="A165" s="3"/>
      <c r="B165" s="10"/>
      <c r="C165" s="3"/>
      <c r="D165" s="133"/>
      <c r="E165" s="133"/>
    </row>
    <row r="166" spans="1:5" s="8" customFormat="1" x14ac:dyDescent="0.25">
      <c r="A166" s="3"/>
      <c r="B166" s="10"/>
      <c r="C166" s="3"/>
      <c r="D166" s="133"/>
      <c r="E166" s="133"/>
    </row>
    <row r="167" spans="1:5" s="8" customFormat="1" x14ac:dyDescent="0.25">
      <c r="A167" s="3"/>
      <c r="B167" s="10"/>
      <c r="C167" s="3"/>
      <c r="D167" s="133"/>
      <c r="E167" s="133"/>
    </row>
    <row r="168" spans="1:5" s="8" customFormat="1" x14ac:dyDescent="0.25">
      <c r="A168" s="3"/>
      <c r="B168" s="10"/>
      <c r="C168" s="3"/>
      <c r="D168" s="133"/>
      <c r="E168" s="133"/>
    </row>
    <row r="169" spans="1:5" s="8" customFormat="1" x14ac:dyDescent="0.25">
      <c r="A169" s="3"/>
      <c r="B169" s="10"/>
      <c r="C169" s="3"/>
      <c r="D169" s="133"/>
      <c r="E169" s="133"/>
    </row>
    <row r="170" spans="1:5" s="8" customFormat="1" x14ac:dyDescent="0.25">
      <c r="A170" s="3"/>
      <c r="B170" s="10"/>
      <c r="C170" s="3"/>
      <c r="D170" s="133"/>
      <c r="E170" s="133"/>
    </row>
    <row r="171" spans="1:5" s="8" customFormat="1" x14ac:dyDescent="0.25">
      <c r="A171" s="3"/>
      <c r="B171" s="10"/>
      <c r="C171" s="3"/>
      <c r="D171" s="133"/>
      <c r="E171" s="133"/>
    </row>
    <row r="172" spans="1:5" s="8" customFormat="1" x14ac:dyDescent="0.25">
      <c r="A172" s="3"/>
      <c r="B172" s="10"/>
      <c r="C172" s="3"/>
      <c r="D172" s="133"/>
      <c r="E172" s="133"/>
    </row>
    <row r="173" spans="1:5" s="8" customFormat="1" x14ac:dyDescent="0.25">
      <c r="A173" s="3"/>
      <c r="B173" s="10"/>
      <c r="C173" s="3"/>
      <c r="D173" s="133"/>
      <c r="E173" s="133"/>
    </row>
    <row r="174" spans="1:5" s="8" customFormat="1" x14ac:dyDescent="0.25">
      <c r="A174" s="3"/>
      <c r="B174" s="10"/>
      <c r="C174" s="3"/>
      <c r="D174" s="133"/>
      <c r="E174" s="133"/>
    </row>
    <row r="175" spans="1:5" s="8" customFormat="1" x14ac:dyDescent="0.25">
      <c r="A175" s="3"/>
      <c r="B175" s="10"/>
      <c r="C175" s="3"/>
      <c r="D175" s="133"/>
      <c r="E175" s="133"/>
    </row>
    <row r="176" spans="1:5" s="8" customFormat="1" x14ac:dyDescent="0.25">
      <c r="A176" s="3"/>
      <c r="B176" s="10"/>
      <c r="C176" s="3"/>
      <c r="D176" s="133"/>
      <c r="E176" s="133"/>
    </row>
    <row r="177" spans="1:5" s="8" customFormat="1" x14ac:dyDescent="0.25">
      <c r="A177" s="3"/>
      <c r="B177" s="10"/>
      <c r="C177" s="3"/>
      <c r="D177" s="133"/>
      <c r="E177" s="133"/>
    </row>
    <row r="178" spans="1:5" s="8" customFormat="1" x14ac:dyDescent="0.25">
      <c r="A178" s="3"/>
      <c r="B178" s="10"/>
      <c r="C178" s="3"/>
      <c r="D178" s="133"/>
      <c r="E178" s="133"/>
    </row>
    <row r="179" spans="1:5" s="8" customFormat="1" x14ac:dyDescent="0.25">
      <c r="A179" s="3"/>
      <c r="B179" s="10"/>
      <c r="C179" s="3"/>
      <c r="D179" s="133"/>
      <c r="E179" s="133"/>
    </row>
    <row r="180" spans="1:5" s="8" customFormat="1" x14ac:dyDescent="0.25">
      <c r="A180" s="3"/>
      <c r="B180" s="10"/>
      <c r="C180" s="3"/>
      <c r="D180" s="133"/>
      <c r="E180" s="133"/>
    </row>
    <row r="181" spans="1:5" s="8" customFormat="1" x14ac:dyDescent="0.25">
      <c r="A181" s="3"/>
      <c r="B181" s="10"/>
      <c r="C181" s="3"/>
      <c r="D181" s="133"/>
      <c r="E181" s="133"/>
    </row>
    <row r="182" spans="1:5" s="8" customFormat="1" x14ac:dyDescent="0.25">
      <c r="A182" s="3"/>
      <c r="B182" s="10"/>
      <c r="C182" s="3"/>
      <c r="D182" s="133"/>
      <c r="E182" s="133"/>
    </row>
    <row r="183" spans="1:5" s="8" customFormat="1" x14ac:dyDescent="0.25">
      <c r="A183" s="3"/>
      <c r="B183" s="10"/>
      <c r="C183" s="3"/>
      <c r="D183" s="133"/>
      <c r="E183" s="133"/>
    </row>
    <row r="184" spans="1:5" s="8" customFormat="1" x14ac:dyDescent="0.25">
      <c r="A184" s="3"/>
      <c r="B184" s="10"/>
      <c r="C184" s="3"/>
      <c r="D184" s="133"/>
      <c r="E184" s="133"/>
    </row>
    <row r="185" spans="1:5" s="8" customFormat="1" x14ac:dyDescent="0.25">
      <c r="A185" s="3"/>
      <c r="B185" s="10"/>
      <c r="C185" s="3"/>
      <c r="D185" s="133"/>
      <c r="E185" s="133"/>
    </row>
    <row r="186" spans="1:5" s="8" customFormat="1" x14ac:dyDescent="0.25">
      <c r="A186" s="3"/>
      <c r="B186" s="10"/>
      <c r="C186" s="3"/>
      <c r="D186" s="133"/>
      <c r="E186" s="133"/>
    </row>
    <row r="187" spans="1:5" s="8" customFormat="1" x14ac:dyDescent="0.25">
      <c r="A187" s="3"/>
      <c r="B187" s="10"/>
      <c r="C187" s="3"/>
      <c r="D187" s="133"/>
      <c r="E187" s="133"/>
    </row>
    <row r="188" spans="1:5" s="8" customFormat="1" x14ac:dyDescent="0.25">
      <c r="A188" s="3"/>
      <c r="B188" s="10"/>
      <c r="C188" s="3"/>
      <c r="D188" s="133"/>
      <c r="E188" s="133"/>
    </row>
    <row r="189" spans="1:5" s="8" customFormat="1" x14ac:dyDescent="0.25">
      <c r="A189" s="3"/>
      <c r="B189" s="10"/>
      <c r="C189" s="3"/>
      <c r="D189" s="133"/>
      <c r="E189" s="133"/>
    </row>
    <row r="190" spans="1:5" s="8" customFormat="1" x14ac:dyDescent="0.25">
      <c r="A190" s="3"/>
      <c r="B190" s="10"/>
      <c r="C190" s="3"/>
      <c r="D190" s="133"/>
      <c r="E190" s="133"/>
    </row>
    <row r="191" spans="1:5" s="8" customFormat="1" x14ac:dyDescent="0.25">
      <c r="A191" s="3"/>
      <c r="B191" s="10"/>
      <c r="C191" s="3"/>
      <c r="D191" s="133"/>
      <c r="E191" s="133"/>
    </row>
    <row r="192" spans="1:5" s="8" customFormat="1" x14ac:dyDescent="0.25">
      <c r="A192" s="3"/>
      <c r="B192" s="10"/>
      <c r="C192" s="3"/>
      <c r="D192" s="133"/>
      <c r="E192" s="133"/>
    </row>
    <row r="193" spans="1:5" s="8" customFormat="1" x14ac:dyDescent="0.25">
      <c r="A193" s="3"/>
      <c r="B193" s="10"/>
      <c r="C193" s="3"/>
      <c r="D193" s="133"/>
      <c r="E193" s="133"/>
    </row>
    <row r="194" spans="1:5" s="8" customFormat="1" x14ac:dyDescent="0.25">
      <c r="A194" s="3"/>
      <c r="B194" s="10"/>
      <c r="C194" s="3"/>
      <c r="D194" s="133"/>
      <c r="E194" s="133"/>
    </row>
    <row r="195" spans="1:5" s="8" customFormat="1" x14ac:dyDescent="0.25">
      <c r="A195" s="3"/>
      <c r="B195" s="10"/>
      <c r="C195" s="3"/>
      <c r="D195" s="133"/>
      <c r="E195" s="133"/>
    </row>
    <row r="196" spans="1:5" s="8" customFormat="1" x14ac:dyDescent="0.25">
      <c r="A196" s="3"/>
      <c r="B196" s="10"/>
      <c r="C196" s="3"/>
      <c r="D196" s="133"/>
      <c r="E196" s="133"/>
    </row>
    <row r="197" spans="1:5" s="8" customFormat="1" x14ac:dyDescent="0.25">
      <c r="A197" s="3"/>
      <c r="B197" s="10"/>
      <c r="C197" s="3"/>
      <c r="D197" s="133"/>
      <c r="E197" s="133"/>
    </row>
    <row r="198" spans="1:5" s="8" customFormat="1" x14ac:dyDescent="0.25">
      <c r="A198" s="3"/>
      <c r="B198" s="10"/>
      <c r="C198" s="3"/>
      <c r="D198" s="133"/>
      <c r="E198" s="133"/>
    </row>
    <row r="199" spans="1:5" s="8" customFormat="1" x14ac:dyDescent="0.25">
      <c r="A199" s="3"/>
      <c r="B199" s="10"/>
      <c r="C199" s="3"/>
      <c r="D199" s="133"/>
      <c r="E199" s="133"/>
    </row>
    <row r="200" spans="1:5" s="8" customFormat="1" x14ac:dyDescent="0.25">
      <c r="A200" s="3"/>
      <c r="B200" s="10"/>
      <c r="C200" s="3"/>
      <c r="D200" s="133"/>
      <c r="E200" s="133"/>
    </row>
    <row r="201" spans="1:5" s="8" customFormat="1" x14ac:dyDescent="0.25">
      <c r="A201" s="3"/>
      <c r="B201" s="10"/>
      <c r="C201" s="3"/>
      <c r="D201" s="133"/>
      <c r="E201" s="133"/>
    </row>
    <row r="202" spans="1:5" s="8" customFormat="1" x14ac:dyDescent="0.25">
      <c r="A202" s="3"/>
      <c r="B202" s="10"/>
      <c r="C202" s="3"/>
      <c r="D202" s="133"/>
      <c r="E202" s="133"/>
    </row>
    <row r="203" spans="1:5" s="8" customFormat="1" x14ac:dyDescent="0.25">
      <c r="A203" s="3"/>
      <c r="B203" s="10"/>
      <c r="C203" s="3"/>
      <c r="D203" s="133"/>
      <c r="E203" s="133"/>
    </row>
    <row r="204" spans="1:5" s="8" customFormat="1" x14ac:dyDescent="0.25">
      <c r="A204" s="3"/>
      <c r="B204" s="10"/>
      <c r="C204" s="3"/>
      <c r="D204" s="133"/>
      <c r="E204" s="133"/>
    </row>
    <row r="205" spans="1:5" s="8" customFormat="1" x14ac:dyDescent="0.25">
      <c r="A205" s="3"/>
      <c r="B205" s="10"/>
      <c r="C205" s="3"/>
      <c r="D205" s="133"/>
      <c r="E205" s="133"/>
    </row>
    <row r="206" spans="1:5" s="8" customFormat="1" x14ac:dyDescent="0.25">
      <c r="A206" s="3"/>
      <c r="B206" s="10"/>
      <c r="C206" s="3"/>
      <c r="D206" s="133"/>
      <c r="E206" s="133"/>
    </row>
    <row r="207" spans="1:5" s="8" customFormat="1" x14ac:dyDescent="0.25">
      <c r="A207" s="3"/>
      <c r="B207" s="10"/>
      <c r="C207" s="3"/>
      <c r="D207" s="133"/>
      <c r="E207" s="133"/>
    </row>
    <row r="208" spans="1:5" s="8" customFormat="1" x14ac:dyDescent="0.25">
      <c r="A208" s="3"/>
      <c r="B208" s="10"/>
      <c r="C208" s="3"/>
      <c r="D208" s="133"/>
      <c r="E208" s="133"/>
    </row>
    <row r="209" spans="1:5" s="8" customFormat="1" x14ac:dyDescent="0.25">
      <c r="A209" s="3"/>
      <c r="B209" s="10"/>
      <c r="C209" s="3"/>
      <c r="D209" s="133"/>
      <c r="E209" s="133"/>
    </row>
    <row r="210" spans="1:5" s="8" customFormat="1" x14ac:dyDescent="0.25">
      <c r="A210" s="3"/>
      <c r="B210" s="10"/>
      <c r="C210" s="3"/>
      <c r="D210" s="133"/>
      <c r="E210" s="133"/>
    </row>
    <row r="211" spans="1:5" s="8" customFormat="1" x14ac:dyDescent="0.25">
      <c r="A211" s="3"/>
      <c r="B211" s="10"/>
      <c r="C211" s="3"/>
      <c r="D211" s="133"/>
      <c r="E211" s="133"/>
    </row>
    <row r="212" spans="1:5" s="8" customFormat="1" x14ac:dyDescent="0.25">
      <c r="A212" s="3"/>
      <c r="B212" s="10"/>
      <c r="C212" s="3"/>
      <c r="D212" s="133"/>
      <c r="E212" s="133"/>
    </row>
    <row r="213" spans="1:5" s="8" customFormat="1" x14ac:dyDescent="0.25">
      <c r="A213" s="3"/>
      <c r="B213" s="10"/>
      <c r="C213" s="3"/>
      <c r="D213" s="133"/>
      <c r="E213" s="133"/>
    </row>
    <row r="214" spans="1:5" s="8" customFormat="1" x14ac:dyDescent="0.25">
      <c r="A214" s="3"/>
      <c r="B214" s="10"/>
      <c r="C214" s="3"/>
      <c r="D214" s="133"/>
      <c r="E214" s="133"/>
    </row>
    <row r="215" spans="1:5" s="8" customFormat="1" x14ac:dyDescent="0.25">
      <c r="A215" s="3"/>
      <c r="B215" s="10"/>
      <c r="C215" s="3"/>
      <c r="D215" s="133"/>
      <c r="E215" s="133"/>
    </row>
    <row r="216" spans="1:5" s="8" customFormat="1" x14ac:dyDescent="0.25">
      <c r="A216" s="3"/>
      <c r="B216" s="10"/>
      <c r="C216" s="3"/>
      <c r="D216" s="133"/>
      <c r="E216" s="133"/>
    </row>
    <row r="217" spans="1:5" s="8" customFormat="1" x14ac:dyDescent="0.25">
      <c r="A217" s="3"/>
      <c r="B217" s="10"/>
      <c r="C217" s="3"/>
      <c r="D217" s="133"/>
      <c r="E217" s="133"/>
    </row>
    <row r="218" spans="1:5" s="8" customFormat="1" x14ac:dyDescent="0.25">
      <c r="A218" s="3"/>
      <c r="B218" s="10"/>
      <c r="C218" s="3"/>
      <c r="D218" s="133"/>
      <c r="E218" s="133"/>
    </row>
    <row r="219" spans="1:5" s="8" customFormat="1" x14ac:dyDescent="0.25">
      <c r="A219" s="3"/>
      <c r="B219" s="10"/>
      <c r="C219" s="3"/>
      <c r="D219" s="133"/>
      <c r="E219" s="133"/>
    </row>
    <row r="220" spans="1:5" s="8" customFormat="1" x14ac:dyDescent="0.25">
      <c r="A220" s="3"/>
      <c r="B220" s="10"/>
      <c r="C220" s="3"/>
      <c r="D220" s="133"/>
      <c r="E220" s="133"/>
    </row>
    <row r="221" spans="1:5" s="8" customFormat="1" x14ac:dyDescent="0.25">
      <c r="A221" s="3"/>
      <c r="B221" s="10"/>
      <c r="C221" s="3"/>
      <c r="D221" s="133"/>
      <c r="E221" s="133"/>
    </row>
    <row r="222" spans="1:5" s="8" customFormat="1" x14ac:dyDescent="0.25">
      <c r="A222" s="3"/>
      <c r="B222" s="10"/>
      <c r="C222" s="3"/>
      <c r="D222" s="133"/>
      <c r="E222" s="133"/>
    </row>
    <row r="223" spans="1:5" s="8" customFormat="1" x14ac:dyDescent="0.25">
      <c r="A223" s="3"/>
      <c r="B223" s="10"/>
      <c r="C223" s="3"/>
      <c r="D223" s="133"/>
      <c r="E223" s="133"/>
    </row>
  </sheetData>
  <sheetProtection algorithmName="SHA-512" hashValue="K0uG6pUNcpQ02OvFgz2hhDhpSBXQDsMmcoT+bsvOi7WqMgcoOEynP2IzN0OGd6yiZxt+5oBG2TVzIsLaqX2D/Q==" saltValue="tp+2eRPeLM1nqPew+IGgvQ==" spinCount="100000" sheet="1" objects="1" scenarios="1" selectLockedCells="1"/>
  <mergeCells count="1">
    <mergeCell ref="A1:E2"/>
  </mergeCells>
  <pageMargins left="4.8425196850393704" right="0.70866141732283472" top="1.1417322834645669" bottom="0.74803149606299213" header="0.31496062992125984" footer="0.31496062992125984"/>
  <pageSetup paperSize="8" orientation="landscape" r:id="rId1"/>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election activeCell="F4" sqref="F4"/>
    </sheetView>
  </sheetViews>
  <sheetFormatPr defaultRowHeight="15" x14ac:dyDescent="0.25"/>
  <cols>
    <col min="2" max="2" width="48.28515625" customWidth="1"/>
    <col min="3" max="5" width="9.7109375" customWidth="1"/>
    <col min="6" max="7" width="14.7109375" customWidth="1"/>
  </cols>
  <sheetData>
    <row r="1" spans="1:8" x14ac:dyDescent="0.25">
      <c r="A1" s="292" t="s">
        <v>1632</v>
      </c>
      <c r="B1" s="292"/>
      <c r="C1" s="292"/>
      <c r="D1" s="292"/>
      <c r="E1" s="292"/>
      <c r="F1" s="292"/>
      <c r="G1" s="292"/>
      <c r="H1" s="162"/>
    </row>
    <row r="2" spans="1:8" x14ac:dyDescent="0.25">
      <c r="A2" s="292"/>
      <c r="B2" s="292"/>
      <c r="C2" s="292"/>
      <c r="D2" s="292"/>
      <c r="E2" s="292"/>
      <c r="F2" s="292"/>
      <c r="G2" s="292"/>
      <c r="H2" s="162"/>
    </row>
    <row r="3" spans="1:8" x14ac:dyDescent="0.25">
      <c r="A3" s="7" t="s">
        <v>1119</v>
      </c>
      <c r="B3" s="7" t="s">
        <v>814</v>
      </c>
      <c r="C3" s="7" t="s">
        <v>1622</v>
      </c>
      <c r="D3" s="7" t="s">
        <v>1619</v>
      </c>
      <c r="E3" s="7" t="s">
        <v>1132</v>
      </c>
      <c r="F3" s="183" t="s">
        <v>1385</v>
      </c>
      <c r="G3" s="7" t="s">
        <v>1386</v>
      </c>
      <c r="H3" s="162"/>
    </row>
    <row r="4" spans="1:8" x14ac:dyDescent="0.25">
      <c r="A4" s="253" t="s">
        <v>4</v>
      </c>
      <c r="B4" s="253" t="s">
        <v>1030</v>
      </c>
      <c r="C4" s="253">
        <v>12</v>
      </c>
      <c r="D4" s="253">
        <v>15</v>
      </c>
      <c r="E4" s="253">
        <f>Montag_Ambulatório_Dados[[#This Row],[PSC]]+Montag_Ambulatório_Dados[[#This Row],[PSVV]]</f>
        <v>27</v>
      </c>
      <c r="F4" s="237"/>
      <c r="G4" s="236">
        <f>Montag_Ambulatório_Internet[[#This Row],[VALOR UNID]]*Montag_Ambulatório_Dados[[#This Row],[QUANT]]</f>
        <v>0</v>
      </c>
      <c r="H4" s="162"/>
    </row>
    <row r="5" spans="1:8" x14ac:dyDescent="0.25">
      <c r="A5" s="22" t="s">
        <v>9</v>
      </c>
      <c r="B5" s="22" t="s">
        <v>1633</v>
      </c>
      <c r="C5" s="22">
        <v>6</v>
      </c>
      <c r="D5" s="22">
        <v>15</v>
      </c>
      <c r="E5" s="22">
        <f>Montag_Ambulatório_Dados[[#This Row],[PSC]]+Montag_Ambulatório_Dados[[#This Row],[PSVV]]</f>
        <v>21</v>
      </c>
      <c r="F5" s="176"/>
      <c r="G5" s="15">
        <f>Montag_Ambulatório_Internet[[#This Row],[VALOR UNID]]*Montag_Ambulatório_Dados[[#This Row],[QUANT]]</f>
        <v>0</v>
      </c>
      <c r="H5" s="162"/>
    </row>
    <row r="6" spans="1:8" x14ac:dyDescent="0.25">
      <c r="A6" s="253" t="s">
        <v>12</v>
      </c>
      <c r="B6" s="253" t="s">
        <v>1634</v>
      </c>
      <c r="C6" s="253">
        <v>4</v>
      </c>
      <c r="D6" s="253">
        <v>4</v>
      </c>
      <c r="E6" s="253">
        <f>Montag_Ambulatório_Dados[[#This Row],[PSC]]+Montag_Ambulatório_Dados[[#This Row],[PSVV]]</f>
        <v>8</v>
      </c>
      <c r="F6" s="237"/>
      <c r="G6" s="236">
        <f>Montag_Ambulatório_Internet[[#This Row],[VALOR UNID]]*Montag_Ambulatório_Dados[[#This Row],[QUANT]]</f>
        <v>0</v>
      </c>
      <c r="H6" s="162"/>
    </row>
    <row r="7" spans="1:8" x14ac:dyDescent="0.25">
      <c r="A7" s="22" t="s">
        <v>15</v>
      </c>
      <c r="B7" s="22" t="s">
        <v>1635</v>
      </c>
      <c r="C7" s="22">
        <v>1</v>
      </c>
      <c r="D7" s="22">
        <v>0</v>
      </c>
      <c r="E7" s="22">
        <f>Montag_Ambulatório_Dados[[#This Row],[PSC]]+Montag_Ambulatório_Dados[[#This Row],[PSVV]]</f>
        <v>1</v>
      </c>
      <c r="F7" s="176"/>
      <c r="G7" s="15">
        <f>Montag_Ambulatório_Internet[[#This Row],[VALOR UNID]]*Montag_Ambulatório_Dados[[#This Row],[QUANT]]</f>
        <v>0</v>
      </c>
      <c r="H7" s="162"/>
    </row>
    <row r="8" spans="1:8" x14ac:dyDescent="0.25">
      <c r="A8" s="253" t="s">
        <v>18</v>
      </c>
      <c r="B8" s="253" t="s">
        <v>1636</v>
      </c>
      <c r="C8" s="253">
        <v>1</v>
      </c>
      <c r="D8" s="253">
        <v>0</v>
      </c>
      <c r="E8" s="253">
        <f>Montag_Ambulatório_Dados[[#This Row],[PSC]]+Montag_Ambulatório_Dados[[#This Row],[PSVV]]</f>
        <v>1</v>
      </c>
      <c r="F8" s="237"/>
      <c r="G8" s="236">
        <f>Montag_Ambulatório_Internet[[#This Row],[VALOR UNID]]*Montag_Ambulatório_Dados[[#This Row],[QUANT]]</f>
        <v>0</v>
      </c>
      <c r="H8" s="162"/>
    </row>
    <row r="9" spans="1:8" x14ac:dyDescent="0.25">
      <c r="A9" s="22" t="s">
        <v>21</v>
      </c>
      <c r="B9" s="22" t="s">
        <v>1637</v>
      </c>
      <c r="C9" s="22">
        <v>6</v>
      </c>
      <c r="D9" s="22">
        <v>8</v>
      </c>
      <c r="E9" s="22">
        <f>Montag_Ambulatório_Dados[[#This Row],[PSC]]+Montag_Ambulatório_Dados[[#This Row],[PSVV]]</f>
        <v>14</v>
      </c>
      <c r="F9" s="176"/>
      <c r="G9" s="15">
        <f>Montag_Ambulatório_Internet[[#This Row],[VALOR UNID]]*Montag_Ambulatório_Dados[[#This Row],[QUANT]]</f>
        <v>0</v>
      </c>
      <c r="H9" s="162"/>
    </row>
    <row r="10" spans="1:8" x14ac:dyDescent="0.25">
      <c r="A10" s="253" t="s">
        <v>24</v>
      </c>
      <c r="B10" s="253" t="s">
        <v>1638</v>
      </c>
      <c r="C10" s="253">
        <v>10</v>
      </c>
      <c r="D10" s="253">
        <v>13</v>
      </c>
      <c r="E10" s="253">
        <f>Montag_Ambulatório_Dados[[#This Row],[PSC]]+Montag_Ambulatório_Dados[[#This Row],[PSVV]]</f>
        <v>23</v>
      </c>
      <c r="F10" s="237"/>
      <c r="G10" s="236">
        <f>Montag_Ambulatório_Internet[[#This Row],[VALOR UNID]]*Montag_Ambulatório_Dados[[#This Row],[QUANT]]</f>
        <v>0</v>
      </c>
      <c r="H10" s="162"/>
    </row>
    <row r="11" spans="1:8" x14ac:dyDescent="0.25">
      <c r="A11" s="22" t="s">
        <v>28</v>
      </c>
      <c r="B11" s="22" t="s">
        <v>1639</v>
      </c>
      <c r="C11" s="22">
        <v>1</v>
      </c>
      <c r="D11" s="22">
        <v>2</v>
      </c>
      <c r="E11" s="22">
        <f>Montag_Ambulatório_Dados[[#This Row],[PSC]]+Montag_Ambulatório_Dados[[#This Row],[PSVV]]</f>
        <v>3</v>
      </c>
      <c r="F11" s="176"/>
      <c r="G11" s="15">
        <f>Montag_Ambulatório_Internet[[#This Row],[VALOR UNID]]*Montag_Ambulatório_Dados[[#This Row],[QUANT]]</f>
        <v>0</v>
      </c>
      <c r="H11" s="162"/>
    </row>
    <row r="12" spans="1:8" x14ac:dyDescent="0.25">
      <c r="A12" s="253" t="s">
        <v>29</v>
      </c>
      <c r="B12" s="254" t="s">
        <v>1640</v>
      </c>
      <c r="C12" s="253">
        <v>1</v>
      </c>
      <c r="D12" s="253">
        <v>1</v>
      </c>
      <c r="E12" s="253">
        <f>Montag_Ambulatório_Dados[[#This Row],[PSC]]+Montag_Ambulatório_Dados[[#This Row],[PSVV]]</f>
        <v>2</v>
      </c>
      <c r="F12" s="237"/>
      <c r="G12" s="236">
        <f>Montag_Ambulatório_Internet[[#This Row],[VALOR UNID]]*Montag_Ambulatório_Dados[[#This Row],[QUANT]]</f>
        <v>0</v>
      </c>
      <c r="H12" s="162"/>
    </row>
    <row r="13" spans="1:8" x14ac:dyDescent="0.25">
      <c r="A13" s="22" t="s">
        <v>31</v>
      </c>
      <c r="B13" s="22" t="s">
        <v>1641</v>
      </c>
      <c r="C13" s="22">
        <v>1</v>
      </c>
      <c r="D13" s="22">
        <v>2</v>
      </c>
      <c r="E13" s="22">
        <f>Montag_Ambulatório_Dados[[#This Row],[PSC]]+Montag_Ambulatório_Dados[[#This Row],[PSVV]]</f>
        <v>3</v>
      </c>
      <c r="F13" s="176"/>
      <c r="G13" s="15">
        <f>Montag_Ambulatório_Internet[[#This Row],[VALOR UNID]]*Montag_Ambulatório_Dados[[#This Row],[QUANT]]</f>
        <v>0</v>
      </c>
      <c r="H13" s="162"/>
    </row>
    <row r="14" spans="1:8" x14ac:dyDescent="0.25">
      <c r="A14" s="253" t="s">
        <v>35</v>
      </c>
      <c r="B14" s="253" t="s">
        <v>1642</v>
      </c>
      <c r="C14" s="253">
        <v>4</v>
      </c>
      <c r="D14" s="253">
        <v>7</v>
      </c>
      <c r="E14" s="253">
        <f>Montag_Ambulatório_Dados[[#This Row],[PSC]]+Montag_Ambulatório_Dados[[#This Row],[PSVV]]</f>
        <v>11</v>
      </c>
      <c r="F14" s="237"/>
      <c r="G14" s="236">
        <f>Montag_Ambulatório_Internet[[#This Row],[VALOR UNID]]*Montag_Ambulatório_Dados[[#This Row],[QUANT]]</f>
        <v>0</v>
      </c>
      <c r="H14" s="162"/>
    </row>
    <row r="15" spans="1:8" x14ac:dyDescent="0.25">
      <c r="A15" s="22" t="s">
        <v>37</v>
      </c>
      <c r="B15" s="22" t="s">
        <v>1643</v>
      </c>
      <c r="C15" s="22">
        <v>3</v>
      </c>
      <c r="D15" s="22">
        <v>5</v>
      </c>
      <c r="E15" s="22">
        <f>Montag_Ambulatório_Dados[[#This Row],[PSC]]+Montag_Ambulatório_Dados[[#This Row],[PSVV]]</f>
        <v>8</v>
      </c>
      <c r="F15" s="176"/>
      <c r="G15" s="15">
        <f>Montag_Ambulatório_Internet[[#This Row],[VALOR UNID]]*Montag_Ambulatório_Dados[[#This Row],[QUANT]]</f>
        <v>0</v>
      </c>
      <c r="H15" s="162"/>
    </row>
    <row r="16" spans="1:8" x14ac:dyDescent="0.25">
      <c r="A16" s="253" t="s">
        <v>41</v>
      </c>
      <c r="B16" s="253" t="s">
        <v>1644</v>
      </c>
      <c r="C16" s="253">
        <v>1</v>
      </c>
      <c r="D16" s="253">
        <v>0</v>
      </c>
      <c r="E16" s="253">
        <f>Montag_Ambulatório_Dados[[#This Row],[PSC]]+Montag_Ambulatório_Dados[[#This Row],[PSVV]]</f>
        <v>1</v>
      </c>
      <c r="F16" s="237"/>
      <c r="G16" s="236">
        <f>Montag_Ambulatório_Internet[[#This Row],[VALOR UNID]]*Montag_Ambulatório_Dados[[#This Row],[QUANT]]</f>
        <v>0</v>
      </c>
      <c r="H16" s="162"/>
    </row>
    <row r="17" spans="1:8" x14ac:dyDescent="0.25">
      <c r="A17" s="22" t="s">
        <v>43</v>
      </c>
      <c r="B17" s="22" t="s">
        <v>1645</v>
      </c>
      <c r="C17" s="22">
        <v>1</v>
      </c>
      <c r="D17" s="22">
        <v>0</v>
      </c>
      <c r="E17" s="22">
        <f>Montag_Ambulatório_Dados[[#This Row],[PSC]]+Montag_Ambulatório_Dados[[#This Row],[PSVV]]</f>
        <v>1</v>
      </c>
      <c r="F17" s="176"/>
      <c r="G17" s="15">
        <f>Montag_Ambulatório_Internet[[#This Row],[VALOR UNID]]*Montag_Ambulatório_Dados[[#This Row],[QUANT]]</f>
        <v>0</v>
      </c>
      <c r="H17" s="162"/>
    </row>
    <row r="18" spans="1:8" x14ac:dyDescent="0.25">
      <c r="A18" s="253" t="s">
        <v>46</v>
      </c>
      <c r="B18" s="253" t="s">
        <v>1646</v>
      </c>
      <c r="C18" s="253">
        <v>3</v>
      </c>
      <c r="D18" s="253">
        <v>5</v>
      </c>
      <c r="E18" s="253">
        <f>Montag_Ambulatório_Dados[[#This Row],[PSC]]+Montag_Ambulatório_Dados[[#This Row],[PSVV]]</f>
        <v>8</v>
      </c>
      <c r="F18" s="237"/>
      <c r="G18" s="236">
        <f>Montag_Ambulatório_Internet[[#This Row],[VALOR UNID]]*Montag_Ambulatório_Dados[[#This Row],[QUANT]]</f>
        <v>0</v>
      </c>
      <c r="H18" s="162"/>
    </row>
    <row r="19" spans="1:8" x14ac:dyDescent="0.25">
      <c r="A19" s="22" t="s">
        <v>49</v>
      </c>
      <c r="B19" s="22" t="s">
        <v>1031</v>
      </c>
      <c r="C19" s="22">
        <v>6</v>
      </c>
      <c r="D19" s="22">
        <v>10</v>
      </c>
      <c r="E19" s="22">
        <f>Montag_Ambulatório_Dados[[#This Row],[PSC]]+Montag_Ambulatório_Dados[[#This Row],[PSVV]]</f>
        <v>16</v>
      </c>
      <c r="F19" s="176"/>
      <c r="G19" s="15">
        <f>Montag_Ambulatório_Internet[[#This Row],[VALOR UNID]]*Montag_Ambulatório_Dados[[#This Row],[QUANT]]</f>
        <v>0</v>
      </c>
      <c r="H19" s="162"/>
    </row>
    <row r="20" spans="1:8" x14ac:dyDescent="0.25">
      <c r="A20" s="253" t="s">
        <v>53</v>
      </c>
      <c r="B20" s="253" t="s">
        <v>1647</v>
      </c>
      <c r="C20" s="253">
        <v>1</v>
      </c>
      <c r="D20" s="253">
        <v>2</v>
      </c>
      <c r="E20" s="253">
        <f>Montag_Ambulatório_Dados[[#This Row],[PSC]]+Montag_Ambulatório_Dados[[#This Row],[PSVV]]</f>
        <v>3</v>
      </c>
      <c r="F20" s="237"/>
      <c r="G20" s="236">
        <f>Montag_Ambulatório_Internet[[#This Row],[VALOR UNID]]*Montag_Ambulatório_Dados[[#This Row],[QUANT]]</f>
        <v>0</v>
      </c>
      <c r="H20" s="162"/>
    </row>
    <row r="21" spans="1:8" x14ac:dyDescent="0.25">
      <c r="A21" s="22"/>
      <c r="B21" s="21"/>
      <c r="C21" s="2">
        <f t="shared" ref="C21:E21" si="0">SUBTOTAL(109,C4:C20)</f>
        <v>62</v>
      </c>
      <c r="D21" s="2">
        <f t="shared" si="0"/>
        <v>89</v>
      </c>
      <c r="E21" s="2">
        <f t="shared" si="0"/>
        <v>151</v>
      </c>
      <c r="F21" s="14"/>
      <c r="G21" s="26">
        <f>SUBTOTAL(109,Montag_Ambulatório_Internet[VALOR TOTAL])</f>
        <v>0</v>
      </c>
      <c r="H21" s="162"/>
    </row>
  </sheetData>
  <sheetProtection algorithmName="SHA-512" hashValue="/yerx2kYm+iDRCil/bbtNYbhayePCeXhZmhhKTfzJND1DYSRl7OTn/x3kFTrdZfAQhsZJQMwJ0JVGtMnQzQXmw==" saltValue="CeHTzX6CKMfH+VtJZ63IJg==" spinCount="100000" sheet="1" objects="1" scenarios="1" selectLockedCells="1"/>
  <mergeCells count="1">
    <mergeCell ref="A1:G2"/>
  </mergeCells>
  <pageMargins left="1.1023622047244095" right="0.51181102362204722" top="0.78740157480314965" bottom="0.78740157480314965" header="0.31496062992125984" footer="0.31496062992125984"/>
  <pageSetup paperSize="9"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30"/>
  <sheetViews>
    <sheetView showGridLines="0" tabSelected="1" topLeftCell="B1" zoomScale="120" zoomScaleNormal="120" workbookViewId="0">
      <selection activeCell="R1" sqref="R1"/>
    </sheetView>
  </sheetViews>
  <sheetFormatPr defaultColWidth="8.85546875" defaultRowHeight="12" outlineLevelCol="1" x14ac:dyDescent="0.25"/>
  <cols>
    <col min="1" max="1" width="7" style="19" hidden="1" customWidth="1" outlineLevel="1"/>
    <col min="2" max="2" width="18.140625" style="28" customWidth="1" collapsed="1"/>
    <col min="3" max="3" width="7.85546875" style="19" customWidth="1"/>
    <col min="4" max="4" width="32.42578125" style="27" customWidth="1"/>
    <col min="5" max="7" width="14.28515625" style="19" customWidth="1"/>
    <col min="8" max="10" width="18.42578125" style="19" customWidth="1"/>
    <col min="11" max="13" width="8.140625" style="19" customWidth="1"/>
    <col min="14" max="16384" width="8.85546875" style="19"/>
  </cols>
  <sheetData>
    <row r="1" spans="1:14" x14ac:dyDescent="0.25">
      <c r="A1" s="127"/>
      <c r="B1" s="281"/>
      <c r="C1" s="281"/>
      <c r="D1" s="281"/>
      <c r="E1" s="281"/>
      <c r="F1" s="281"/>
      <c r="G1" s="281"/>
      <c r="H1" s="281"/>
      <c r="I1" s="281"/>
      <c r="J1" s="281"/>
      <c r="K1" s="281"/>
      <c r="L1" s="281"/>
      <c r="M1" s="281"/>
      <c r="N1" s="281"/>
    </row>
    <row r="2" spans="1:14" x14ac:dyDescent="0.25">
      <c r="A2" s="127" t="s">
        <v>1335</v>
      </c>
      <c r="B2" s="281" t="s">
        <v>1700</v>
      </c>
      <c r="C2" s="281"/>
      <c r="D2" s="281"/>
      <c r="E2" s="281"/>
      <c r="F2" s="281"/>
      <c r="G2" s="281"/>
      <c r="H2" s="127"/>
      <c r="I2" s="127"/>
      <c r="J2" s="127"/>
      <c r="K2" s="127"/>
      <c r="L2" s="127"/>
      <c r="M2" s="127"/>
      <c r="N2" s="127"/>
    </row>
    <row r="3" spans="1:14" x14ac:dyDescent="0.25">
      <c r="A3" s="127"/>
      <c r="B3" s="281"/>
      <c r="C3" s="281"/>
      <c r="D3" s="281"/>
      <c r="E3" s="281"/>
      <c r="F3" s="281"/>
      <c r="G3" s="281"/>
      <c r="H3" s="281"/>
      <c r="I3" s="281"/>
      <c r="J3" s="281"/>
      <c r="K3" s="281"/>
      <c r="L3" s="281"/>
      <c r="M3" s="281"/>
      <c r="N3" s="281"/>
    </row>
    <row r="4" spans="1:14" x14ac:dyDescent="0.25">
      <c r="A4" s="164"/>
      <c r="B4" s="164"/>
      <c r="C4" s="164"/>
      <c r="D4" s="164"/>
      <c r="E4" s="164"/>
      <c r="F4" s="164"/>
      <c r="G4" s="164"/>
      <c r="H4" s="164"/>
      <c r="I4" s="164"/>
      <c r="J4" s="164"/>
      <c r="K4" s="164"/>
      <c r="L4" s="164"/>
      <c r="M4" s="164"/>
    </row>
    <row r="5" spans="1:14" s="27" customFormat="1" x14ac:dyDescent="0.25">
      <c r="A5" s="27" t="s">
        <v>1117</v>
      </c>
      <c r="B5" s="28" t="s">
        <v>1118</v>
      </c>
      <c r="C5" s="27" t="s">
        <v>1071</v>
      </c>
      <c r="D5" s="34" t="s">
        <v>1072</v>
      </c>
      <c r="E5" s="34" t="s">
        <v>1321</v>
      </c>
      <c r="F5" s="34" t="s">
        <v>1590</v>
      </c>
      <c r="G5" s="27" t="s">
        <v>1591</v>
      </c>
    </row>
    <row r="6" spans="1:14" ht="18" customHeight="1" x14ac:dyDescent="0.25">
      <c r="B6" s="28" t="s">
        <v>1387</v>
      </c>
      <c r="C6" s="19">
        <v>1</v>
      </c>
      <c r="D6" s="34" t="s">
        <v>1564</v>
      </c>
      <c r="E6" s="33">
        <f>Pessoal_Valores[[#Totals],[VALOR MÊS]]</f>
        <v>0</v>
      </c>
      <c r="F6" s="33">
        <f>Pessoal_Valores[[#Totals],[VALOR ANO]]</f>
        <v>0</v>
      </c>
      <c r="G6" s="32" t="e">
        <f>Consol_Menor_Fixa[[#This Row],[VALOR ANO                ]]/Consol_Menor_Fixa[[#Totals],[VALOR ANO                ]]</f>
        <v>#DIV/0!</v>
      </c>
    </row>
    <row r="7" spans="1:14" ht="18" customHeight="1" x14ac:dyDescent="0.25">
      <c r="A7" s="122"/>
      <c r="B7" s="28" t="s">
        <v>1387</v>
      </c>
      <c r="C7" s="122">
        <v>2</v>
      </c>
      <c r="D7" s="34" t="s">
        <v>1586</v>
      </c>
      <c r="E7" s="123">
        <f>'Custeio Administrativo'!C48</f>
        <v>0</v>
      </c>
      <c r="F7" s="124">
        <f>'Custeio Administrativo'!D48</f>
        <v>0</v>
      </c>
      <c r="G7" s="125" t="e">
        <f>Consol_Menor_Fixa[[#This Row],[VALOR ANO                ]]/Consol_Menor_Fixa[[#Totals],[VALOR ANO                ]]</f>
        <v>#DIV/0!</v>
      </c>
    </row>
    <row r="8" spans="1:14" ht="18" customHeight="1" x14ac:dyDescent="0.25">
      <c r="B8" s="28" t="s">
        <v>1387</v>
      </c>
      <c r="C8" s="19">
        <v>3</v>
      </c>
      <c r="D8" s="34" t="s">
        <v>1073</v>
      </c>
      <c r="E8" s="33">
        <f>Medicam_Nun_e_Gomes[[#Totals],[VALOR MÊS ]]</f>
        <v>0</v>
      </c>
      <c r="F8" s="33">
        <f>Medicam_Nun_e_Gomes[[#Totals],[VALOR ANO]]</f>
        <v>0</v>
      </c>
      <c r="G8" s="32" t="e">
        <f>Consol_Menor_Fixa[[#This Row],[VALOR ANO                ]]/Consol_Menor_Fixa[[#Totals],[VALOR ANO                ]]</f>
        <v>#DIV/0!</v>
      </c>
    </row>
    <row r="9" spans="1:14" ht="18" customHeight="1" x14ac:dyDescent="0.25">
      <c r="B9" s="28" t="s">
        <v>1387</v>
      </c>
      <c r="C9" s="19">
        <v>4</v>
      </c>
      <c r="D9" s="34" t="s">
        <v>1338</v>
      </c>
      <c r="E9" s="33">
        <f>Mat_Consum_Nun_e_Gomes[[#Totals],[VALOR MÊS]]</f>
        <v>0</v>
      </c>
      <c r="F9" s="33">
        <f>Mat_Consum_Nun_e_Gomes[[#Totals],[VALOR ANO]]</f>
        <v>0</v>
      </c>
      <c r="G9" s="32" t="e">
        <f>Consol_Menor_Fixa[[#This Row],[VALOR ANO                ]]/Consol_Menor_Fixa[[#Totals],[VALOR ANO                ]]</f>
        <v>#DIV/0!</v>
      </c>
    </row>
    <row r="10" spans="1:14" ht="18" customHeight="1" x14ac:dyDescent="0.25">
      <c r="B10" s="28" t="s">
        <v>1387</v>
      </c>
      <c r="C10" s="122">
        <v>5</v>
      </c>
      <c r="D10" s="34" t="s">
        <v>1075</v>
      </c>
      <c r="E10" s="33">
        <f>Odon_Mat_Consum_Deconhecida[[#Totals],[VALOR MÊS]]</f>
        <v>0</v>
      </c>
      <c r="F10" s="33">
        <f>Odon_Mat_Consum_Deconhecida[[#Totals],[VALOR ANO]]</f>
        <v>0</v>
      </c>
      <c r="G10" s="32" t="e">
        <f>Consol_Menor_Fixa[[#This Row],[VALOR ANO                ]]/Consol_Menor_Fixa[[#Totals],[VALOR ANO                ]]</f>
        <v>#DIV/0!</v>
      </c>
    </row>
    <row r="11" spans="1:14" ht="18" customHeight="1" x14ac:dyDescent="0.25">
      <c r="B11" s="28" t="s">
        <v>1387</v>
      </c>
      <c r="C11" s="19">
        <v>6</v>
      </c>
      <c r="D11" s="34" t="s">
        <v>1404</v>
      </c>
      <c r="E11" s="33">
        <f>Odont_Instrum_Recor_Dent_Speed_Graph[[#Totals],[VALOR MÊS]]</f>
        <v>0</v>
      </c>
      <c r="F11" s="33">
        <f>Odont_Instrum_Recor_Dent_Speed_Graph[[#Totals],[VALOR ANO]]</f>
        <v>0</v>
      </c>
      <c r="G11" s="32" t="e">
        <f>Consol_Menor_Fixa[[#This Row],[VALOR ANO                ]]/Consol_Menor_Fixa[[#Totals],[VALOR ANO                ]]</f>
        <v>#DIV/0!</v>
      </c>
    </row>
    <row r="12" spans="1:14" ht="18" customHeight="1" x14ac:dyDescent="0.25">
      <c r="B12" s="28" t="s">
        <v>1387</v>
      </c>
      <c r="C12" s="19">
        <v>7</v>
      </c>
      <c r="D12" s="34" t="s">
        <v>1517</v>
      </c>
      <c r="E12" s="33">
        <f>Exames_Valores[[#Totals],[VALOR MÊS ]]</f>
        <v>0</v>
      </c>
      <c r="F12" s="33">
        <f>Exames_Valores[[#Totals],[VALOR ANO]]</f>
        <v>0</v>
      </c>
      <c r="G12" s="32" t="e">
        <f>Consol_Menor_Fixa[[#This Row],[VALOR ANO                ]]/Consol_Menor_Fixa[[#Totals],[VALOR ANO                ]]</f>
        <v>#DIV/0!</v>
      </c>
    </row>
    <row r="13" spans="1:14" ht="18" customHeight="1" x14ac:dyDescent="0.25">
      <c r="B13" s="28" t="s">
        <v>1387</v>
      </c>
      <c r="C13" s="122">
        <v>8</v>
      </c>
      <c r="D13" s="34" t="s">
        <v>1528</v>
      </c>
      <c r="E13" s="33">
        <f>Manut_Equipam_SEJUS[[#Totals],[VALOR MÊS]]</f>
        <v>0</v>
      </c>
      <c r="F13" s="33">
        <f>Manut_Equipam_SEJUS[[#Totals],[VALOR ANO]]</f>
        <v>0</v>
      </c>
      <c r="G13" s="32" t="e">
        <f>Consol_Menor_Fixa[[#This Row],[VALOR ANO                ]]/Consol_Menor_Fixa[[#Totals],[VALOR ANO                ]]</f>
        <v>#DIV/0!</v>
      </c>
    </row>
    <row r="14" spans="1:14" ht="18" customHeight="1" x14ac:dyDescent="0.25">
      <c r="B14" s="28" t="s">
        <v>1387</v>
      </c>
      <c r="C14" s="19">
        <v>10</v>
      </c>
      <c r="D14" s="34" t="s">
        <v>1080</v>
      </c>
      <c r="E14" s="33">
        <f>'Serviços de Apoio'!E4</f>
        <v>0</v>
      </c>
      <c r="F14" s="33">
        <f>'Serviços de Apoio'!F4</f>
        <v>0</v>
      </c>
      <c r="G14" s="32" t="e">
        <f>Consol_Menor_Fixa[[#This Row],[VALOR ANO                ]]/Consol_Menor_Fixa[[#Totals],[VALOR ANO                ]]</f>
        <v>#DIV/0!</v>
      </c>
    </row>
    <row r="15" spans="1:14" ht="18" customHeight="1" x14ac:dyDescent="0.25">
      <c r="D15" s="34"/>
      <c r="E15" s="42">
        <f>SUM(Consol_Menor_Fixa[VALOR MÊS])</f>
        <v>0</v>
      </c>
      <c r="F15" s="42">
        <f>SUM(Consol_Menor_Fixa[[VALOR ANO                ]])</f>
        <v>0</v>
      </c>
      <c r="G15" s="42" t="e">
        <f>SUM(Consol_Menor_Fixa[LOTE %])</f>
        <v>#DIV/0!</v>
      </c>
    </row>
    <row r="16" spans="1:14" x14ac:dyDescent="0.25">
      <c r="D16" s="34"/>
      <c r="E16" s="35"/>
      <c r="F16" s="35"/>
      <c r="G16" s="35"/>
      <c r="H16" s="35"/>
    </row>
    <row r="17" spans="1:13" s="27" customFormat="1" ht="24" x14ac:dyDescent="0.25">
      <c r="A17" s="27" t="s">
        <v>1117</v>
      </c>
      <c r="B17" s="28" t="s">
        <v>1118</v>
      </c>
      <c r="C17" s="27" t="s">
        <v>1071</v>
      </c>
      <c r="D17" s="27" t="s">
        <v>1072</v>
      </c>
      <c r="E17" s="27" t="s">
        <v>1332</v>
      </c>
      <c r="F17" s="27" t="s">
        <v>1591</v>
      </c>
    </row>
    <row r="18" spans="1:13" s="27" customFormat="1" ht="18" customHeight="1" x14ac:dyDescent="0.25">
      <c r="B18" s="28" t="s">
        <v>1388</v>
      </c>
      <c r="C18" s="27">
        <v>11</v>
      </c>
      <c r="D18" s="27" t="s">
        <v>1556</v>
      </c>
      <c r="E18" s="112">
        <f>Est_Inf_Valores[[#Totals],[VALOR TOTAL]]</f>
        <v>0</v>
      </c>
      <c r="F18" s="113" t="e">
        <f>Consol_Menor_Invest[[#This Row],[VALOR INVESTIDO]]/Consol_Menor_Invest[[#Totals],[VALOR INVESTIDO]]</f>
        <v>#DIV/0!</v>
      </c>
    </row>
    <row r="19" spans="1:13" s="27" customFormat="1" ht="18" customHeight="1" x14ac:dyDescent="0.25">
      <c r="B19" s="28" t="s">
        <v>1388</v>
      </c>
      <c r="C19" s="27">
        <v>12</v>
      </c>
      <c r="D19" s="27" t="s">
        <v>1339</v>
      </c>
      <c r="E19" s="24">
        <f>Mat_Saúde_Nun_e_Gomes[[#Totals],[VALOR TOTAL]]</f>
        <v>0</v>
      </c>
      <c r="F19" s="32" t="e">
        <f>Consol_Menor_Invest[[#This Row],[VALOR INVESTIDO]]/Consol_Menor_Invest[[#Totals],[VALOR INVESTIDO]]</f>
        <v>#DIV/0!</v>
      </c>
    </row>
    <row r="20" spans="1:13" s="27" customFormat="1" ht="18" customHeight="1" x14ac:dyDescent="0.25">
      <c r="B20" s="28" t="s">
        <v>1388</v>
      </c>
      <c r="C20" s="27">
        <v>13</v>
      </c>
      <c r="D20" s="34" t="s">
        <v>1074</v>
      </c>
      <c r="E20" s="33">
        <f>Saúde_Instrum_Speed_Graph_Internet[[#Totals],[VALOR TOTAL]]</f>
        <v>0</v>
      </c>
      <c r="F20" s="32" t="e">
        <f>Consol_Menor_Invest[[#This Row],[VALOR INVESTIDO]]/Consol_Menor_Invest[[#Totals],[VALOR INVESTIDO]]</f>
        <v>#DIV/0!</v>
      </c>
    </row>
    <row r="21" spans="1:13" s="27" customFormat="1" ht="18" customHeight="1" x14ac:dyDescent="0.25">
      <c r="B21" s="28" t="s">
        <v>1388</v>
      </c>
      <c r="C21" s="27">
        <v>14</v>
      </c>
      <c r="D21" s="34" t="s">
        <v>1076</v>
      </c>
      <c r="E21" s="33">
        <f>Odonto_Instrum_Dental_Speed_Graph[[#Totals],[VALOR TOTAL ]]</f>
        <v>0</v>
      </c>
      <c r="F21" s="32" t="e">
        <f>Consol_Menor_Invest[[#This Row],[VALOR INVESTIDO]]/Consol_Menor_Invest[[#Totals],[VALOR INVESTIDO]]</f>
        <v>#DIV/0!</v>
      </c>
    </row>
    <row r="22" spans="1:13" ht="18" customHeight="1" x14ac:dyDescent="0.25">
      <c r="B22" s="28" t="s">
        <v>1388</v>
      </c>
      <c r="C22" s="27">
        <v>15</v>
      </c>
      <c r="D22" s="27" t="s">
        <v>1077</v>
      </c>
      <c r="E22" s="24">
        <f>Montag_Sala_Vacina_Diversos[[#Totals],[VALOR TOTAL ]]</f>
        <v>0</v>
      </c>
      <c r="F22" s="32" t="e">
        <f>Consol_Menor_Invest[[#This Row],[VALOR INVESTIDO]]/Consol_Menor_Invest[[#Totals],[VALOR INVESTIDO]]</f>
        <v>#DIV/0!</v>
      </c>
    </row>
    <row r="23" spans="1:13" ht="18" customHeight="1" x14ac:dyDescent="0.25">
      <c r="B23" s="28" t="s">
        <v>1388</v>
      </c>
      <c r="C23" s="27">
        <v>16</v>
      </c>
      <c r="D23" s="27" t="s">
        <v>1078</v>
      </c>
      <c r="E23" s="20">
        <f>Montag_Consult_Odonto_Dental_Cremer[[#Totals],[VALOR TOTAL ]]</f>
        <v>0</v>
      </c>
      <c r="F23" s="32" t="e">
        <f>Consol_Menor_Invest[[#This Row],[VALOR INVESTIDO]]/Consol_Menor_Invest[[#Totals],[VALOR INVESTIDO]]</f>
        <v>#DIV/0!</v>
      </c>
    </row>
    <row r="24" spans="1:13" ht="18" customHeight="1" x14ac:dyDescent="0.25">
      <c r="B24" s="28" t="s">
        <v>1388</v>
      </c>
      <c r="C24" s="27">
        <v>17</v>
      </c>
      <c r="D24" s="27" t="s">
        <v>1079</v>
      </c>
      <c r="E24" s="20">
        <f>Montag_Central_Ambul_Diversos[[#Totals],[VALOR TOTAL]]</f>
        <v>0</v>
      </c>
      <c r="F24" s="32" t="e">
        <f>Consol_Menor_Invest[[#This Row],[VALOR INVESTIDO]]/Consol_Menor_Invest[[#Totals],[VALOR INVESTIDO]]</f>
        <v>#DIV/0!</v>
      </c>
    </row>
    <row r="25" spans="1:13" ht="18" customHeight="1" x14ac:dyDescent="0.25">
      <c r="B25" s="28" t="s">
        <v>1388</v>
      </c>
      <c r="C25" s="27">
        <v>18</v>
      </c>
      <c r="D25" s="27" t="s">
        <v>1632</v>
      </c>
      <c r="E25" s="163">
        <f>Montag_Ambulatório_Internet[[#Totals],[VALOR TOTAL]]</f>
        <v>0</v>
      </c>
      <c r="F25" s="32" t="e">
        <f>Consol_Menor_Invest[[#This Row],[VALOR INVESTIDO]]/Consol_Menor_Invest[[#Totals],[VALOR INVESTIDO]]</f>
        <v>#DIV/0!</v>
      </c>
    </row>
    <row r="26" spans="1:13" ht="18" customHeight="1" x14ac:dyDescent="0.25">
      <c r="B26" s="28" t="s">
        <v>1388</v>
      </c>
      <c r="C26" s="27">
        <v>19</v>
      </c>
      <c r="D26" s="27" t="s">
        <v>1526</v>
      </c>
      <c r="E26" s="20">
        <f>Obras_CUB[[#Totals],[VALOR TOTAL]]</f>
        <v>0</v>
      </c>
      <c r="F26" s="32" t="e">
        <f>Consol_Menor_Invest[[#This Row],[VALOR INVESTIDO]]/Consol_Menor_Invest[[#Totals],[VALOR INVESTIDO]]</f>
        <v>#DIV/0!</v>
      </c>
    </row>
    <row r="27" spans="1:13" ht="18" customHeight="1" x14ac:dyDescent="0.25">
      <c r="E27" s="42">
        <f>SUM(Consol_Menor_Invest[VALOR INVESTIDO])</f>
        <v>0</v>
      </c>
      <c r="F27" s="42" t="e">
        <f>SUBTOTAL(109,Consol_Menor_Invest[LOTE %])</f>
        <v>#DIV/0!</v>
      </c>
    </row>
    <row r="28" spans="1:13" x14ac:dyDescent="0.25">
      <c r="A28" s="30"/>
      <c r="B28" s="38"/>
      <c r="C28" s="30"/>
      <c r="D28" s="29"/>
      <c r="E28" s="30"/>
      <c r="F28" s="30"/>
      <c r="G28" s="31"/>
      <c r="H28" s="31"/>
      <c r="I28" s="31"/>
    </row>
    <row r="29" spans="1:13" x14ac:dyDescent="0.25">
      <c r="J29" s="31"/>
      <c r="K29" s="31"/>
      <c r="L29" s="31"/>
      <c r="M29" s="30"/>
    </row>
    <row r="30" spans="1:13" x14ac:dyDescent="0.25">
      <c r="E30" s="20"/>
      <c r="F30" s="20"/>
    </row>
  </sheetData>
  <sheetProtection algorithmName="SHA-512" hashValue="sRsb1+6uqAf3MO34e4HY1SHKiOdh8BwERqRaA2yfNzQqT817YziM3quNjH7zgpBn78dx38HUrZLKljoxIM0WiA==" saltValue="3rLgNGarCK1SB8fUtVPi3g==" spinCount="100000" sheet="1" objects="1" scenarios="1" selectLockedCells="1"/>
  <mergeCells count="3">
    <mergeCell ref="B1:N1"/>
    <mergeCell ref="B3:N3"/>
    <mergeCell ref="B2:G2"/>
  </mergeCells>
  <pageMargins left="4.2519685039370083" right="0.70866141732283472" top="1.1417322834645669" bottom="0.74803149606299213" header="0.31496062992125984" footer="0.31496062992125984"/>
  <pageSetup paperSize="8" orientation="landscape" r:id="rId1"/>
  <ignoredErrors>
    <ignoredError sqref="A5 E16:J16 D8 D10 C5:D5 B6 B5 B8:B13 C6 B14" calculatedColumn="1"/>
  </ignoredErrors>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221"/>
  <sheetViews>
    <sheetView showGridLines="0" zoomScaleNormal="100" workbookViewId="0">
      <selection activeCell="E4" sqref="E4"/>
    </sheetView>
  </sheetViews>
  <sheetFormatPr defaultColWidth="8.85546875" defaultRowHeight="11.25" x14ac:dyDescent="0.25"/>
  <cols>
    <col min="1" max="1" width="6.28515625" style="3" customWidth="1"/>
    <col min="2" max="2" width="14.7109375" style="10" customWidth="1"/>
    <col min="3" max="3" width="37.140625" style="10" customWidth="1"/>
    <col min="4" max="4" width="11.7109375" style="3" customWidth="1"/>
    <col min="5" max="5" width="16.7109375" style="133" customWidth="1"/>
    <col min="6" max="6" width="17.7109375" style="133" customWidth="1"/>
    <col min="7" max="16384" width="8.85546875" style="3"/>
  </cols>
  <sheetData>
    <row r="1" spans="1:6" ht="12" customHeight="1" x14ac:dyDescent="0.25">
      <c r="A1" s="289" t="s">
        <v>1526</v>
      </c>
      <c r="B1" s="289"/>
      <c r="C1" s="289"/>
      <c r="D1" s="289"/>
      <c r="E1" s="289"/>
      <c r="F1" s="289"/>
    </row>
    <row r="2" spans="1:6" ht="12" customHeight="1" x14ac:dyDescent="0.25">
      <c r="A2" s="289"/>
      <c r="B2" s="289"/>
      <c r="C2" s="289"/>
      <c r="D2" s="289"/>
      <c r="E2" s="289"/>
      <c r="F2" s="289"/>
    </row>
    <row r="3" spans="1:6" s="7" customFormat="1" ht="31.5" x14ac:dyDescent="0.25">
      <c r="A3" s="7" t="s">
        <v>1119</v>
      </c>
      <c r="B3" s="7" t="s">
        <v>814</v>
      </c>
      <c r="C3" s="7" t="s">
        <v>1602</v>
      </c>
      <c r="D3" s="7" t="s">
        <v>1603</v>
      </c>
      <c r="E3" s="187" t="s">
        <v>1601</v>
      </c>
      <c r="F3" s="132" t="s">
        <v>1386</v>
      </c>
    </row>
    <row r="4" spans="1:6" s="8" customFormat="1" ht="267.75" customHeight="1" x14ac:dyDescent="0.25">
      <c r="A4" s="253" t="s">
        <v>1374</v>
      </c>
      <c r="B4" s="254" t="s">
        <v>1648</v>
      </c>
      <c r="C4" s="254" t="s">
        <v>1649</v>
      </c>
      <c r="D4" s="253">
        <f>6.5+9.64+9.6+37.5+3.5+10+14+6+12.82+2.1+2.7+5+3.5+7.68+5.4+35</f>
        <v>170.94</v>
      </c>
      <c r="E4" s="237"/>
      <c r="F4" s="236">
        <f>Obras_CUB[[#This Row],[VALOR UNIT (m²)]]*Obras_Dados[[#This Row],[MEDIDAS ESPECÍFICAS (m²)]]</f>
        <v>0</v>
      </c>
    </row>
    <row r="5" spans="1:6" s="8" customFormat="1" ht="191.25" x14ac:dyDescent="0.25">
      <c r="A5" s="22" t="s">
        <v>1650</v>
      </c>
      <c r="B5" s="21" t="s">
        <v>1651</v>
      </c>
      <c r="C5" s="21" t="s">
        <v>1652</v>
      </c>
      <c r="D5" s="22">
        <f>6+8</f>
        <v>14</v>
      </c>
      <c r="E5" s="171"/>
      <c r="F5" s="15">
        <f>Obras_CUB[[#This Row],[VALOR UNIT (m²)]]*Obras_Dados[[#This Row],[MEDIDAS ESPECÍFICAS (m²)]]</f>
        <v>0</v>
      </c>
    </row>
    <row r="6" spans="1:6" s="8" customFormat="1" ht="45.75" customHeight="1" x14ac:dyDescent="0.25">
      <c r="A6" s="253" t="s">
        <v>1653</v>
      </c>
      <c r="B6" s="254" t="s">
        <v>1654</v>
      </c>
      <c r="C6" s="254" t="s">
        <v>1655</v>
      </c>
      <c r="D6" s="253">
        <f>16+6</f>
        <v>22</v>
      </c>
      <c r="E6" s="237"/>
      <c r="F6" s="236">
        <f>Obras_CUB[[#This Row],[VALOR UNIT (m²)]]*Obras_Dados[[#This Row],[MEDIDAS ESPECÍFICAS (m²)]]</f>
        <v>0</v>
      </c>
    </row>
    <row r="7" spans="1:6" s="8" customFormat="1" ht="227.25" customHeight="1" x14ac:dyDescent="0.25">
      <c r="A7" s="22" t="s">
        <v>1656</v>
      </c>
      <c r="B7" s="21" t="s">
        <v>1657</v>
      </c>
      <c r="C7" s="21" t="s">
        <v>1658</v>
      </c>
      <c r="D7" s="22">
        <f>6+9+9.6+21+13+9+12+2.1+5.4+5.4+22</f>
        <v>114.5</v>
      </c>
      <c r="E7" s="171"/>
      <c r="F7" s="15">
        <f>Obras_CUB[[#This Row],[VALOR UNIT (m²)]]*Obras_Dados[[#This Row],[MEDIDAS ESPECÍFICAS (m²)]]</f>
        <v>0</v>
      </c>
    </row>
    <row r="8" spans="1:6" s="8" customFormat="1" ht="85.5" customHeight="1" x14ac:dyDescent="0.25">
      <c r="A8" s="253" t="s">
        <v>1659</v>
      </c>
      <c r="B8" s="254" t="s">
        <v>1660</v>
      </c>
      <c r="C8" s="254" t="s">
        <v>1661</v>
      </c>
      <c r="D8" s="253">
        <v>18.8</v>
      </c>
      <c r="E8" s="237"/>
      <c r="F8" s="236">
        <f>Obras_CUB[[#This Row],[VALOR UNIT (m²)]]*Obras_Dados[[#This Row],[MEDIDAS ESPECÍFICAS (m²)]]</f>
        <v>0</v>
      </c>
    </row>
    <row r="9" spans="1:6" s="8" customFormat="1" ht="87.75" customHeight="1" x14ac:dyDescent="0.25">
      <c r="A9" s="22" t="s">
        <v>1662</v>
      </c>
      <c r="B9" s="21" t="s">
        <v>1663</v>
      </c>
      <c r="C9" s="21" t="s">
        <v>1664</v>
      </c>
      <c r="D9" s="22">
        <f>14.25+14.25</f>
        <v>28.5</v>
      </c>
      <c r="E9" s="171"/>
      <c r="F9" s="15">
        <f>Obras_CUB[[#This Row],[VALOR UNIT (m²)]]*Obras_Dados[[#This Row],[MEDIDAS ESPECÍFICAS (m²)]]</f>
        <v>0</v>
      </c>
    </row>
    <row r="10" spans="1:6" s="8" customFormat="1" x14ac:dyDescent="0.25">
      <c r="A10" s="17"/>
      <c r="B10" s="45"/>
      <c r="C10" s="45"/>
      <c r="D10" s="46">
        <f>SUBTOTAL(109,Obras_Dados[MEDIDAS ESPECÍFICAS (m²)])</f>
        <v>368.74</v>
      </c>
      <c r="E10" s="165">
        <f>SUBTOTAL(109,Obras_CUB[VALOR UNIT (m²)])</f>
        <v>0</v>
      </c>
      <c r="F10" s="165">
        <f>SUM(F4:F9)</f>
        <v>0</v>
      </c>
    </row>
    <row r="11" spans="1:6" s="8" customFormat="1" x14ac:dyDescent="0.25">
      <c r="A11" s="17"/>
      <c r="B11" s="45"/>
      <c r="C11" s="45"/>
      <c r="D11" s="46"/>
      <c r="E11" s="133"/>
      <c r="F11" s="133"/>
    </row>
    <row r="12" spans="1:6" s="8" customFormat="1" x14ac:dyDescent="0.25">
      <c r="A12" s="3"/>
      <c r="B12" s="290"/>
      <c r="C12" s="290"/>
      <c r="D12" s="290"/>
      <c r="E12" s="133"/>
      <c r="F12" s="133"/>
    </row>
    <row r="13" spans="1:6" s="8" customFormat="1" x14ac:dyDescent="0.25">
      <c r="A13" s="3"/>
      <c r="B13" s="290"/>
      <c r="C13" s="290"/>
      <c r="D13" s="290"/>
      <c r="E13" s="133"/>
      <c r="F13" s="133"/>
    </row>
    <row r="14" spans="1:6" s="8" customFormat="1" x14ac:dyDescent="0.25">
      <c r="A14" s="3"/>
      <c r="B14" s="290"/>
      <c r="C14" s="290"/>
      <c r="D14" s="290"/>
      <c r="E14" s="133"/>
      <c r="F14" s="133"/>
    </row>
    <row r="15" spans="1:6" s="8" customFormat="1" x14ac:dyDescent="0.25">
      <c r="A15" s="3"/>
      <c r="B15" s="10"/>
      <c r="C15" s="10"/>
      <c r="D15" s="3"/>
      <c r="E15" s="133"/>
      <c r="F15" s="133"/>
    </row>
    <row r="16" spans="1:6" s="8" customFormat="1" x14ac:dyDescent="0.25">
      <c r="A16" s="3"/>
      <c r="B16" s="10"/>
      <c r="C16" s="10"/>
      <c r="D16" s="3"/>
      <c r="E16" s="133"/>
      <c r="F16" s="133"/>
    </row>
    <row r="17" spans="1:6" s="8" customFormat="1" x14ac:dyDescent="0.25">
      <c r="A17" s="3"/>
      <c r="B17" s="10"/>
      <c r="C17" s="10"/>
      <c r="D17" s="3"/>
      <c r="E17" s="133"/>
      <c r="F17" s="133"/>
    </row>
    <row r="18" spans="1:6" s="8" customFormat="1" x14ac:dyDescent="0.25">
      <c r="A18" s="3"/>
      <c r="B18" s="10"/>
      <c r="C18" s="10"/>
      <c r="D18" s="3"/>
      <c r="E18" s="133"/>
      <c r="F18" s="133"/>
    </row>
    <row r="19" spans="1:6" s="8" customFormat="1" x14ac:dyDescent="0.25">
      <c r="A19" s="3"/>
      <c r="B19" s="10"/>
      <c r="C19" s="10"/>
      <c r="D19" s="3"/>
      <c r="E19" s="133"/>
      <c r="F19" s="133"/>
    </row>
    <row r="20" spans="1:6" s="8" customFormat="1" x14ac:dyDescent="0.25">
      <c r="A20" s="3"/>
      <c r="B20" s="10"/>
      <c r="C20" s="10"/>
      <c r="D20" s="3"/>
      <c r="E20" s="133"/>
      <c r="F20" s="133"/>
    </row>
    <row r="21" spans="1:6" s="8" customFormat="1" x14ac:dyDescent="0.25">
      <c r="A21" s="3"/>
      <c r="B21" s="10"/>
      <c r="C21" s="10"/>
      <c r="D21" s="3"/>
      <c r="E21" s="133"/>
      <c r="F21" s="133"/>
    </row>
    <row r="22" spans="1:6" s="8" customFormat="1" x14ac:dyDescent="0.25">
      <c r="A22" s="3"/>
      <c r="B22" s="10"/>
      <c r="C22" s="10"/>
      <c r="D22" s="3"/>
      <c r="E22" s="133"/>
      <c r="F22" s="133"/>
    </row>
    <row r="23" spans="1:6" s="8" customFormat="1" x14ac:dyDescent="0.25">
      <c r="A23" s="3"/>
      <c r="B23" s="10"/>
      <c r="C23" s="10"/>
      <c r="D23" s="3"/>
      <c r="E23" s="133"/>
      <c r="F23" s="133"/>
    </row>
    <row r="24" spans="1:6" s="8" customFormat="1" x14ac:dyDescent="0.25">
      <c r="A24" s="3"/>
      <c r="B24" s="10"/>
      <c r="C24" s="10"/>
      <c r="D24" s="3"/>
      <c r="E24" s="133"/>
      <c r="F24" s="133"/>
    </row>
    <row r="25" spans="1:6" s="8" customFormat="1" x14ac:dyDescent="0.25">
      <c r="A25" s="3"/>
      <c r="B25" s="10"/>
      <c r="C25" s="10"/>
      <c r="D25" s="3"/>
      <c r="E25" s="133"/>
      <c r="F25" s="133"/>
    </row>
    <row r="26" spans="1:6" s="8" customFormat="1" x14ac:dyDescent="0.25">
      <c r="A26" s="3"/>
      <c r="B26" s="10"/>
      <c r="C26" s="10"/>
      <c r="D26" s="3"/>
      <c r="E26" s="133"/>
      <c r="F26" s="133"/>
    </row>
    <row r="27" spans="1:6" s="8" customFormat="1" x14ac:dyDescent="0.25">
      <c r="A27" s="3"/>
      <c r="B27" s="10"/>
      <c r="C27" s="10"/>
      <c r="D27" s="3"/>
      <c r="E27" s="133"/>
      <c r="F27" s="133"/>
    </row>
    <row r="28" spans="1:6" s="8" customFormat="1" x14ac:dyDescent="0.25">
      <c r="A28" s="3"/>
      <c r="B28" s="10"/>
      <c r="C28" s="10"/>
      <c r="D28" s="3"/>
      <c r="E28" s="133"/>
      <c r="F28" s="133"/>
    </row>
    <row r="29" spans="1:6" s="8" customFormat="1" x14ac:dyDescent="0.25">
      <c r="A29" s="3"/>
      <c r="B29" s="10"/>
      <c r="C29" s="10"/>
      <c r="D29" s="3"/>
      <c r="E29" s="133"/>
      <c r="F29" s="133"/>
    </row>
    <row r="30" spans="1:6" s="8" customFormat="1" x14ac:dyDescent="0.25">
      <c r="A30" s="3"/>
      <c r="B30" s="10"/>
      <c r="C30" s="10"/>
      <c r="D30" s="3"/>
      <c r="E30" s="133"/>
      <c r="F30" s="133"/>
    </row>
    <row r="31" spans="1:6" s="8" customFormat="1" x14ac:dyDescent="0.25">
      <c r="A31" s="3"/>
      <c r="B31" s="10"/>
      <c r="C31" s="10"/>
      <c r="D31" s="3"/>
      <c r="E31" s="133"/>
      <c r="F31" s="133"/>
    </row>
    <row r="32" spans="1:6" s="8" customFormat="1" x14ac:dyDescent="0.25">
      <c r="A32" s="3"/>
      <c r="B32" s="10"/>
      <c r="C32" s="10"/>
      <c r="D32" s="3"/>
      <c r="E32" s="133"/>
      <c r="F32" s="133"/>
    </row>
    <row r="33" spans="1:6" s="8" customFormat="1" x14ac:dyDescent="0.25">
      <c r="A33" s="3"/>
      <c r="B33" s="10"/>
      <c r="C33" s="10"/>
      <c r="D33" s="3"/>
      <c r="E33" s="133"/>
      <c r="F33" s="133"/>
    </row>
    <row r="34" spans="1:6" s="8" customFormat="1" x14ac:dyDescent="0.25">
      <c r="A34" s="3"/>
      <c r="B34" s="10"/>
      <c r="C34" s="10"/>
      <c r="D34" s="3"/>
      <c r="E34" s="133"/>
      <c r="F34" s="133"/>
    </row>
    <row r="35" spans="1:6" s="8" customFormat="1" x14ac:dyDescent="0.25">
      <c r="A35" s="3"/>
      <c r="B35" s="10"/>
      <c r="C35" s="10"/>
      <c r="D35" s="3"/>
      <c r="E35" s="133"/>
      <c r="F35" s="133"/>
    </row>
    <row r="36" spans="1:6" s="8" customFormat="1" x14ac:dyDescent="0.25">
      <c r="A36" s="3"/>
      <c r="B36" s="10"/>
      <c r="C36" s="10"/>
      <c r="D36" s="3"/>
      <c r="E36" s="133"/>
      <c r="F36" s="133"/>
    </row>
    <row r="37" spans="1:6" s="8" customFormat="1" x14ac:dyDescent="0.25">
      <c r="A37" s="3"/>
      <c r="B37" s="10"/>
      <c r="C37" s="10"/>
      <c r="D37" s="3"/>
      <c r="E37" s="133"/>
      <c r="F37" s="133"/>
    </row>
    <row r="38" spans="1:6" s="8" customFormat="1" x14ac:dyDescent="0.25">
      <c r="A38" s="3"/>
      <c r="B38" s="10"/>
      <c r="C38" s="10"/>
      <c r="D38" s="3"/>
      <c r="E38" s="133"/>
      <c r="F38" s="133"/>
    </row>
    <row r="39" spans="1:6" s="8" customFormat="1" x14ac:dyDescent="0.25">
      <c r="A39" s="3"/>
      <c r="B39" s="10"/>
      <c r="C39" s="10"/>
      <c r="D39" s="3"/>
      <c r="E39" s="133"/>
      <c r="F39" s="133"/>
    </row>
    <row r="40" spans="1:6" s="8" customFormat="1" x14ac:dyDescent="0.25">
      <c r="A40" s="3"/>
      <c r="B40" s="10"/>
      <c r="C40" s="10"/>
      <c r="D40" s="3"/>
      <c r="E40" s="133"/>
      <c r="F40" s="133"/>
    </row>
    <row r="41" spans="1:6" s="8" customFormat="1" x14ac:dyDescent="0.25">
      <c r="A41" s="3"/>
      <c r="B41" s="10"/>
      <c r="C41" s="10"/>
      <c r="D41" s="3"/>
      <c r="E41" s="133"/>
      <c r="F41" s="133"/>
    </row>
    <row r="42" spans="1:6" s="8" customFormat="1" x14ac:dyDescent="0.25">
      <c r="A42" s="3"/>
      <c r="B42" s="10"/>
      <c r="C42" s="10"/>
      <c r="D42" s="3"/>
      <c r="E42" s="133"/>
      <c r="F42" s="133"/>
    </row>
    <row r="43" spans="1:6" s="8" customFormat="1" x14ac:dyDescent="0.25">
      <c r="A43" s="3"/>
      <c r="B43" s="10"/>
      <c r="C43" s="10"/>
      <c r="D43" s="3"/>
      <c r="E43" s="133"/>
      <c r="F43" s="133"/>
    </row>
    <row r="44" spans="1:6" s="8" customFormat="1" x14ac:dyDescent="0.25">
      <c r="A44" s="3"/>
      <c r="B44" s="10"/>
      <c r="C44" s="10"/>
      <c r="D44" s="3"/>
      <c r="E44" s="133"/>
      <c r="F44" s="133"/>
    </row>
    <row r="45" spans="1:6" s="8" customFormat="1" x14ac:dyDescent="0.25">
      <c r="A45" s="3"/>
      <c r="B45" s="10"/>
      <c r="C45" s="10"/>
      <c r="D45" s="3"/>
      <c r="E45" s="133"/>
      <c r="F45" s="133"/>
    </row>
    <row r="46" spans="1:6" s="8" customFormat="1" x14ac:dyDescent="0.25">
      <c r="A46" s="3"/>
      <c r="B46" s="10"/>
      <c r="C46" s="10"/>
      <c r="D46" s="3"/>
      <c r="E46" s="133"/>
      <c r="F46" s="133"/>
    </row>
    <row r="47" spans="1:6" s="8" customFormat="1" x14ac:dyDescent="0.25">
      <c r="A47" s="3"/>
      <c r="B47" s="10"/>
      <c r="C47" s="10"/>
      <c r="D47" s="3"/>
      <c r="E47" s="133"/>
      <c r="F47" s="133"/>
    </row>
    <row r="48" spans="1:6" s="8" customFormat="1" x14ac:dyDescent="0.25">
      <c r="A48" s="3"/>
      <c r="B48" s="10"/>
      <c r="C48" s="10"/>
      <c r="D48" s="3"/>
      <c r="E48" s="133"/>
      <c r="F48" s="133"/>
    </row>
    <row r="49" spans="1:6" s="8" customFormat="1" x14ac:dyDescent="0.25">
      <c r="A49" s="3"/>
      <c r="B49" s="10"/>
      <c r="C49" s="10"/>
      <c r="D49" s="3"/>
      <c r="E49" s="133"/>
      <c r="F49" s="133"/>
    </row>
    <row r="50" spans="1:6" s="8" customFormat="1" x14ac:dyDescent="0.25">
      <c r="A50" s="3"/>
      <c r="B50" s="10"/>
      <c r="C50" s="10"/>
      <c r="D50" s="3"/>
      <c r="E50" s="133"/>
      <c r="F50" s="133"/>
    </row>
    <row r="51" spans="1:6" s="8" customFormat="1" x14ac:dyDescent="0.25">
      <c r="A51" s="3"/>
      <c r="B51" s="10"/>
      <c r="C51" s="10"/>
      <c r="D51" s="3"/>
      <c r="E51" s="133"/>
      <c r="F51" s="133"/>
    </row>
    <row r="52" spans="1:6" s="8" customFormat="1" x14ac:dyDescent="0.25">
      <c r="A52" s="3"/>
      <c r="B52" s="10"/>
      <c r="C52" s="10"/>
      <c r="D52" s="3"/>
      <c r="E52" s="133"/>
      <c r="F52" s="133"/>
    </row>
    <row r="53" spans="1:6" s="8" customFormat="1" x14ac:dyDescent="0.25">
      <c r="A53" s="3"/>
      <c r="B53" s="10"/>
      <c r="C53" s="10"/>
      <c r="D53" s="3"/>
      <c r="E53" s="133"/>
      <c r="F53" s="133"/>
    </row>
    <row r="54" spans="1:6" s="8" customFormat="1" x14ac:dyDescent="0.25">
      <c r="A54" s="3"/>
      <c r="B54" s="10"/>
      <c r="C54" s="10"/>
      <c r="D54" s="3"/>
      <c r="E54" s="133"/>
      <c r="F54" s="133"/>
    </row>
    <row r="55" spans="1:6" s="8" customFormat="1" x14ac:dyDescent="0.25">
      <c r="A55" s="3"/>
      <c r="B55" s="10"/>
      <c r="C55" s="10"/>
      <c r="D55" s="3"/>
      <c r="E55" s="133"/>
      <c r="F55" s="133"/>
    </row>
    <row r="56" spans="1:6" s="8" customFormat="1" x14ac:dyDescent="0.25">
      <c r="A56" s="3"/>
      <c r="B56" s="10"/>
      <c r="C56" s="10"/>
      <c r="D56" s="3"/>
      <c r="E56" s="133"/>
      <c r="F56" s="133"/>
    </row>
    <row r="57" spans="1:6" s="8" customFormat="1" x14ac:dyDescent="0.25">
      <c r="A57" s="3"/>
      <c r="B57" s="10"/>
      <c r="C57" s="10"/>
      <c r="D57" s="3"/>
      <c r="E57" s="133"/>
      <c r="F57" s="133"/>
    </row>
    <row r="58" spans="1:6" s="8" customFormat="1" x14ac:dyDescent="0.25">
      <c r="A58" s="3"/>
      <c r="B58" s="10"/>
      <c r="C58" s="10"/>
      <c r="D58" s="3"/>
      <c r="E58" s="133"/>
      <c r="F58" s="133"/>
    </row>
    <row r="59" spans="1:6" s="8" customFormat="1" x14ac:dyDescent="0.25">
      <c r="A59" s="3"/>
      <c r="B59" s="10"/>
      <c r="C59" s="10"/>
      <c r="D59" s="3"/>
      <c r="E59" s="133"/>
      <c r="F59" s="133"/>
    </row>
    <row r="60" spans="1:6" s="8" customFormat="1" x14ac:dyDescent="0.25">
      <c r="A60" s="3"/>
      <c r="B60" s="10"/>
      <c r="C60" s="10"/>
      <c r="D60" s="3"/>
      <c r="E60" s="133"/>
      <c r="F60" s="133"/>
    </row>
    <row r="61" spans="1:6" s="8" customFormat="1" x14ac:dyDescent="0.25">
      <c r="A61" s="3"/>
      <c r="B61" s="10"/>
      <c r="C61" s="10"/>
      <c r="D61" s="3"/>
      <c r="E61" s="133"/>
      <c r="F61" s="133"/>
    </row>
    <row r="62" spans="1:6" s="8" customFormat="1" x14ac:dyDescent="0.25">
      <c r="A62" s="3"/>
      <c r="B62" s="10"/>
      <c r="C62" s="10"/>
      <c r="D62" s="3"/>
      <c r="E62" s="133"/>
      <c r="F62" s="133"/>
    </row>
    <row r="63" spans="1:6" s="8" customFormat="1" x14ac:dyDescent="0.25">
      <c r="A63" s="3"/>
      <c r="B63" s="10"/>
      <c r="C63" s="10"/>
      <c r="D63" s="3"/>
      <c r="E63" s="133"/>
      <c r="F63" s="133"/>
    </row>
    <row r="64" spans="1:6" s="8" customFormat="1" x14ac:dyDescent="0.25">
      <c r="A64" s="3"/>
      <c r="B64" s="10"/>
      <c r="C64" s="10"/>
      <c r="D64" s="3"/>
      <c r="E64" s="133"/>
      <c r="F64" s="133"/>
    </row>
    <row r="65" spans="1:6" s="8" customFormat="1" x14ac:dyDescent="0.25">
      <c r="A65" s="3"/>
      <c r="B65" s="10"/>
      <c r="C65" s="10"/>
      <c r="D65" s="3"/>
      <c r="E65" s="133"/>
      <c r="F65" s="133"/>
    </row>
    <row r="66" spans="1:6" s="8" customFormat="1" x14ac:dyDescent="0.25">
      <c r="A66" s="3"/>
      <c r="B66" s="10"/>
      <c r="C66" s="10"/>
      <c r="D66" s="3"/>
      <c r="E66" s="133"/>
      <c r="F66" s="133"/>
    </row>
    <row r="67" spans="1:6" s="8" customFormat="1" x14ac:dyDescent="0.25">
      <c r="A67" s="3"/>
      <c r="B67" s="10"/>
      <c r="C67" s="10"/>
      <c r="D67" s="3"/>
      <c r="E67" s="133"/>
      <c r="F67" s="133"/>
    </row>
    <row r="68" spans="1:6" s="8" customFormat="1" x14ac:dyDescent="0.25">
      <c r="A68" s="3"/>
      <c r="B68" s="10"/>
      <c r="C68" s="10"/>
      <c r="D68" s="3"/>
      <c r="E68" s="133"/>
      <c r="F68" s="133"/>
    </row>
    <row r="69" spans="1:6" s="8" customFormat="1" x14ac:dyDescent="0.25">
      <c r="A69" s="3"/>
      <c r="B69" s="10"/>
      <c r="C69" s="10"/>
      <c r="D69" s="3"/>
      <c r="E69" s="133"/>
      <c r="F69" s="133"/>
    </row>
    <row r="70" spans="1:6" s="8" customFormat="1" x14ac:dyDescent="0.25">
      <c r="A70" s="3"/>
      <c r="B70" s="10"/>
      <c r="C70" s="10"/>
      <c r="D70" s="3"/>
      <c r="E70" s="133"/>
      <c r="F70" s="133"/>
    </row>
    <row r="71" spans="1:6" s="8" customFormat="1" x14ac:dyDescent="0.25">
      <c r="A71" s="3"/>
      <c r="B71" s="10"/>
      <c r="C71" s="10"/>
      <c r="D71" s="3"/>
      <c r="E71" s="133"/>
      <c r="F71" s="133"/>
    </row>
    <row r="72" spans="1:6" s="8" customFormat="1" x14ac:dyDescent="0.25">
      <c r="A72" s="3"/>
      <c r="B72" s="10"/>
      <c r="C72" s="10"/>
      <c r="D72" s="3"/>
      <c r="E72" s="133"/>
      <c r="F72" s="133"/>
    </row>
    <row r="73" spans="1:6" s="8" customFormat="1" x14ac:dyDescent="0.25">
      <c r="A73" s="3"/>
      <c r="B73" s="10"/>
      <c r="C73" s="10"/>
      <c r="D73" s="3"/>
      <c r="E73" s="133"/>
      <c r="F73" s="133"/>
    </row>
    <row r="74" spans="1:6" s="8" customFormat="1" x14ac:dyDescent="0.25">
      <c r="A74" s="3"/>
      <c r="B74" s="10"/>
      <c r="C74" s="10"/>
      <c r="D74" s="3"/>
      <c r="E74" s="133"/>
      <c r="F74" s="133"/>
    </row>
    <row r="75" spans="1:6" s="8" customFormat="1" x14ac:dyDescent="0.25">
      <c r="A75" s="3"/>
      <c r="B75" s="10"/>
      <c r="C75" s="10"/>
      <c r="D75" s="3"/>
      <c r="E75" s="133"/>
      <c r="F75" s="133"/>
    </row>
    <row r="76" spans="1:6" s="8" customFormat="1" x14ac:dyDescent="0.25">
      <c r="A76" s="3"/>
      <c r="B76" s="10"/>
      <c r="C76" s="10"/>
      <c r="D76" s="3"/>
      <c r="E76" s="133"/>
      <c r="F76" s="133"/>
    </row>
    <row r="77" spans="1:6" s="8" customFormat="1" x14ac:dyDescent="0.25">
      <c r="A77" s="3"/>
      <c r="B77" s="10"/>
      <c r="C77" s="10"/>
      <c r="D77" s="3"/>
      <c r="E77" s="133"/>
      <c r="F77" s="133"/>
    </row>
    <row r="78" spans="1:6" s="8" customFormat="1" x14ac:dyDescent="0.25">
      <c r="A78" s="3"/>
      <c r="B78" s="10"/>
      <c r="C78" s="10"/>
      <c r="D78" s="3"/>
      <c r="E78" s="133"/>
      <c r="F78" s="133"/>
    </row>
    <row r="79" spans="1:6" s="8" customFormat="1" x14ac:dyDescent="0.25">
      <c r="A79" s="3"/>
      <c r="B79" s="10"/>
      <c r="C79" s="10"/>
      <c r="D79" s="3"/>
      <c r="E79" s="133"/>
      <c r="F79" s="133"/>
    </row>
    <row r="80" spans="1:6" s="8" customFormat="1" x14ac:dyDescent="0.25">
      <c r="A80" s="3"/>
      <c r="B80" s="10"/>
      <c r="C80" s="10"/>
      <c r="D80" s="3"/>
      <c r="E80" s="133"/>
      <c r="F80" s="133"/>
    </row>
    <row r="81" spans="1:6" s="8" customFormat="1" x14ac:dyDescent="0.25">
      <c r="A81" s="3"/>
      <c r="B81" s="10"/>
      <c r="C81" s="10"/>
      <c r="D81" s="3"/>
      <c r="E81" s="133"/>
      <c r="F81" s="133"/>
    </row>
    <row r="82" spans="1:6" s="8" customFormat="1" x14ac:dyDescent="0.25">
      <c r="A82" s="3"/>
      <c r="B82" s="10"/>
      <c r="C82" s="10"/>
      <c r="D82" s="3"/>
      <c r="E82" s="133"/>
      <c r="F82" s="133"/>
    </row>
    <row r="83" spans="1:6" s="8" customFormat="1" x14ac:dyDescent="0.25">
      <c r="A83" s="3"/>
      <c r="B83" s="10"/>
      <c r="C83" s="10"/>
      <c r="D83" s="3"/>
      <c r="E83" s="133"/>
      <c r="F83" s="133"/>
    </row>
    <row r="84" spans="1:6" s="8" customFormat="1" x14ac:dyDescent="0.25">
      <c r="A84" s="3"/>
      <c r="B84" s="10"/>
      <c r="C84" s="10"/>
      <c r="D84" s="3"/>
      <c r="E84" s="133"/>
      <c r="F84" s="133"/>
    </row>
    <row r="85" spans="1:6" s="8" customFormat="1" x14ac:dyDescent="0.25">
      <c r="A85" s="3"/>
      <c r="B85" s="10"/>
      <c r="C85" s="10"/>
      <c r="D85" s="3"/>
      <c r="E85" s="133"/>
      <c r="F85" s="133"/>
    </row>
    <row r="86" spans="1:6" s="8" customFormat="1" x14ac:dyDescent="0.25">
      <c r="A86" s="3"/>
      <c r="B86" s="10"/>
      <c r="C86" s="10"/>
      <c r="D86" s="3"/>
      <c r="E86" s="133"/>
      <c r="F86" s="133"/>
    </row>
    <row r="87" spans="1:6" s="8" customFormat="1" x14ac:dyDescent="0.25">
      <c r="A87" s="3"/>
      <c r="B87" s="10"/>
      <c r="C87" s="10"/>
      <c r="D87" s="3"/>
      <c r="E87" s="133"/>
      <c r="F87" s="133"/>
    </row>
    <row r="88" spans="1:6" s="8" customFormat="1" x14ac:dyDescent="0.25">
      <c r="A88" s="3"/>
      <c r="B88" s="10"/>
      <c r="C88" s="10"/>
      <c r="D88" s="3"/>
      <c r="E88" s="133"/>
      <c r="F88" s="133"/>
    </row>
    <row r="89" spans="1:6" s="8" customFormat="1" x14ac:dyDescent="0.25">
      <c r="A89" s="3"/>
      <c r="B89" s="10"/>
      <c r="C89" s="10"/>
      <c r="D89" s="3"/>
      <c r="E89" s="133"/>
      <c r="F89" s="133"/>
    </row>
    <row r="90" spans="1:6" s="8" customFormat="1" x14ac:dyDescent="0.25">
      <c r="A90" s="3"/>
      <c r="B90" s="10"/>
      <c r="C90" s="10"/>
      <c r="D90" s="3"/>
      <c r="E90" s="133"/>
      <c r="F90" s="133"/>
    </row>
    <row r="91" spans="1:6" s="8" customFormat="1" x14ac:dyDescent="0.25">
      <c r="A91" s="3"/>
      <c r="B91" s="10"/>
      <c r="C91" s="10"/>
      <c r="D91" s="3"/>
      <c r="E91" s="133"/>
      <c r="F91" s="133"/>
    </row>
    <row r="92" spans="1:6" s="8" customFormat="1" x14ac:dyDescent="0.25">
      <c r="A92" s="3"/>
      <c r="B92" s="10"/>
      <c r="C92" s="10"/>
      <c r="D92" s="3"/>
      <c r="E92" s="133"/>
      <c r="F92" s="133"/>
    </row>
    <row r="93" spans="1:6" s="8" customFormat="1" x14ac:dyDescent="0.25">
      <c r="A93" s="3"/>
      <c r="B93" s="10"/>
      <c r="C93" s="10"/>
      <c r="D93" s="3"/>
      <c r="E93" s="133"/>
      <c r="F93" s="133"/>
    </row>
    <row r="94" spans="1:6" s="8" customFormat="1" x14ac:dyDescent="0.25">
      <c r="A94" s="3"/>
      <c r="B94" s="10"/>
      <c r="C94" s="10"/>
      <c r="D94" s="3"/>
      <c r="E94" s="133"/>
      <c r="F94" s="133"/>
    </row>
    <row r="95" spans="1:6" s="8" customFormat="1" x14ac:dyDescent="0.25">
      <c r="A95" s="3"/>
      <c r="B95" s="10"/>
      <c r="C95" s="10"/>
      <c r="D95" s="3"/>
      <c r="E95" s="133"/>
      <c r="F95" s="133"/>
    </row>
    <row r="96" spans="1:6" s="8" customFormat="1" x14ac:dyDescent="0.25">
      <c r="A96" s="3"/>
      <c r="B96" s="10"/>
      <c r="C96" s="10"/>
      <c r="D96" s="3"/>
      <c r="E96" s="133"/>
      <c r="F96" s="133"/>
    </row>
    <row r="97" spans="1:6" s="8" customFormat="1" x14ac:dyDescent="0.25">
      <c r="A97" s="3"/>
      <c r="B97" s="10"/>
      <c r="C97" s="10"/>
      <c r="D97" s="3"/>
      <c r="E97" s="133"/>
      <c r="F97" s="133"/>
    </row>
    <row r="98" spans="1:6" s="8" customFormat="1" x14ac:dyDescent="0.25">
      <c r="A98" s="3"/>
      <c r="B98" s="10"/>
      <c r="C98" s="10"/>
      <c r="D98" s="3"/>
      <c r="E98" s="133"/>
      <c r="F98" s="133"/>
    </row>
    <row r="99" spans="1:6" s="8" customFormat="1" x14ac:dyDescent="0.25">
      <c r="A99" s="3"/>
      <c r="B99" s="10"/>
      <c r="C99" s="10"/>
      <c r="D99" s="3"/>
      <c r="E99" s="133"/>
      <c r="F99" s="133"/>
    </row>
    <row r="100" spans="1:6" s="8" customFormat="1" x14ac:dyDescent="0.25">
      <c r="A100" s="3"/>
      <c r="B100" s="10"/>
      <c r="C100" s="10"/>
      <c r="D100" s="3"/>
      <c r="E100" s="133"/>
      <c r="F100" s="133"/>
    </row>
    <row r="101" spans="1:6" s="8" customFormat="1" x14ac:dyDescent="0.25">
      <c r="A101" s="3"/>
      <c r="B101" s="10"/>
      <c r="C101" s="10"/>
      <c r="D101" s="3"/>
      <c r="E101" s="133"/>
      <c r="F101" s="133"/>
    </row>
    <row r="102" spans="1:6" s="8" customFormat="1" x14ac:dyDescent="0.25">
      <c r="A102" s="3"/>
      <c r="B102" s="10"/>
      <c r="C102" s="10"/>
      <c r="D102" s="3"/>
      <c r="E102" s="133"/>
      <c r="F102" s="133"/>
    </row>
    <row r="103" spans="1:6" s="8" customFormat="1" x14ac:dyDescent="0.25">
      <c r="A103" s="3"/>
      <c r="B103" s="10"/>
      <c r="C103" s="10"/>
      <c r="D103" s="3"/>
      <c r="E103" s="133"/>
      <c r="F103" s="133"/>
    </row>
    <row r="104" spans="1:6" s="8" customFormat="1" x14ac:dyDescent="0.25">
      <c r="A104" s="3"/>
      <c r="B104" s="10"/>
      <c r="C104" s="10"/>
      <c r="D104" s="3"/>
      <c r="E104" s="133"/>
      <c r="F104" s="133"/>
    </row>
    <row r="105" spans="1:6" s="8" customFormat="1" x14ac:dyDescent="0.25">
      <c r="A105" s="3"/>
      <c r="B105" s="10"/>
      <c r="C105" s="10"/>
      <c r="D105" s="3"/>
      <c r="E105" s="133"/>
      <c r="F105" s="133"/>
    </row>
    <row r="106" spans="1:6" s="8" customFormat="1" x14ac:dyDescent="0.25">
      <c r="A106" s="3"/>
      <c r="B106" s="10"/>
      <c r="C106" s="10"/>
      <c r="D106" s="3"/>
      <c r="E106" s="133"/>
      <c r="F106" s="133"/>
    </row>
    <row r="107" spans="1:6" s="8" customFormat="1" x14ac:dyDescent="0.25">
      <c r="A107" s="3"/>
      <c r="B107" s="10"/>
      <c r="C107" s="10"/>
      <c r="D107" s="3"/>
      <c r="E107" s="133"/>
      <c r="F107" s="133"/>
    </row>
    <row r="108" spans="1:6" s="8" customFormat="1" x14ac:dyDescent="0.25">
      <c r="A108" s="3"/>
      <c r="B108" s="10"/>
      <c r="C108" s="10"/>
      <c r="D108" s="3"/>
      <c r="E108" s="133"/>
      <c r="F108" s="133"/>
    </row>
    <row r="109" spans="1:6" s="8" customFormat="1" x14ac:dyDescent="0.25">
      <c r="A109" s="3"/>
      <c r="B109" s="10"/>
      <c r="C109" s="10"/>
      <c r="D109" s="3"/>
      <c r="E109" s="133"/>
      <c r="F109" s="133"/>
    </row>
    <row r="110" spans="1:6" s="8" customFormat="1" x14ac:dyDescent="0.25">
      <c r="A110" s="3"/>
      <c r="B110" s="10"/>
      <c r="C110" s="10"/>
      <c r="D110" s="3"/>
      <c r="E110" s="133"/>
      <c r="F110" s="133"/>
    </row>
    <row r="111" spans="1:6" s="8" customFormat="1" x14ac:dyDescent="0.25">
      <c r="A111" s="3"/>
      <c r="B111" s="10"/>
      <c r="C111" s="10"/>
      <c r="D111" s="3"/>
      <c r="E111" s="133"/>
      <c r="F111" s="133"/>
    </row>
    <row r="112" spans="1:6" s="8" customFormat="1" x14ac:dyDescent="0.25">
      <c r="A112" s="3"/>
      <c r="B112" s="10"/>
      <c r="C112" s="10"/>
      <c r="D112" s="3"/>
      <c r="E112" s="133"/>
      <c r="F112" s="133"/>
    </row>
    <row r="113" spans="1:6" s="8" customFormat="1" x14ac:dyDescent="0.25">
      <c r="A113" s="3"/>
      <c r="B113" s="10"/>
      <c r="C113" s="10"/>
      <c r="D113" s="3"/>
      <c r="E113" s="133"/>
      <c r="F113" s="133"/>
    </row>
    <row r="114" spans="1:6" s="8" customFormat="1" x14ac:dyDescent="0.25">
      <c r="A114" s="3"/>
      <c r="B114" s="10"/>
      <c r="C114" s="10"/>
      <c r="D114" s="3"/>
      <c r="E114" s="133"/>
      <c r="F114" s="133"/>
    </row>
    <row r="115" spans="1:6" s="8" customFormat="1" x14ac:dyDescent="0.25">
      <c r="A115" s="3"/>
      <c r="B115" s="10"/>
      <c r="C115" s="10"/>
      <c r="D115" s="3"/>
      <c r="E115" s="133"/>
      <c r="F115" s="133"/>
    </row>
    <row r="116" spans="1:6" s="8" customFormat="1" x14ac:dyDescent="0.25">
      <c r="A116" s="3"/>
      <c r="B116" s="10"/>
      <c r="C116" s="10"/>
      <c r="D116" s="3"/>
      <c r="E116" s="133"/>
      <c r="F116" s="133"/>
    </row>
    <row r="117" spans="1:6" s="8" customFormat="1" x14ac:dyDescent="0.25">
      <c r="A117" s="3"/>
      <c r="B117" s="10"/>
      <c r="C117" s="10"/>
      <c r="D117" s="3"/>
      <c r="E117" s="133"/>
      <c r="F117" s="133"/>
    </row>
    <row r="118" spans="1:6" s="8" customFormat="1" x14ac:dyDescent="0.25">
      <c r="A118" s="3"/>
      <c r="B118" s="10"/>
      <c r="C118" s="10"/>
      <c r="D118" s="3"/>
      <c r="E118" s="133"/>
      <c r="F118" s="133"/>
    </row>
    <row r="119" spans="1:6" s="8" customFormat="1" x14ac:dyDescent="0.25">
      <c r="A119" s="3"/>
      <c r="B119" s="10"/>
      <c r="C119" s="10"/>
      <c r="D119" s="3"/>
      <c r="E119" s="133"/>
      <c r="F119" s="133"/>
    </row>
    <row r="120" spans="1:6" s="8" customFormat="1" x14ac:dyDescent="0.25">
      <c r="A120" s="3"/>
      <c r="B120" s="10"/>
      <c r="C120" s="10"/>
      <c r="D120" s="3"/>
      <c r="E120" s="133"/>
      <c r="F120" s="133"/>
    </row>
    <row r="121" spans="1:6" s="8" customFormat="1" x14ac:dyDescent="0.25">
      <c r="A121" s="3"/>
      <c r="B121" s="10"/>
      <c r="C121" s="10"/>
      <c r="D121" s="3"/>
      <c r="E121" s="133"/>
      <c r="F121" s="133"/>
    </row>
    <row r="122" spans="1:6" s="8" customFormat="1" x14ac:dyDescent="0.25">
      <c r="A122" s="3"/>
      <c r="B122" s="10"/>
      <c r="C122" s="10"/>
      <c r="D122" s="3"/>
      <c r="E122" s="133"/>
      <c r="F122" s="133"/>
    </row>
    <row r="123" spans="1:6" s="8" customFormat="1" x14ac:dyDescent="0.25">
      <c r="A123" s="3"/>
      <c r="B123" s="10"/>
      <c r="C123" s="10"/>
      <c r="D123" s="3"/>
      <c r="E123" s="133"/>
      <c r="F123" s="133"/>
    </row>
    <row r="124" spans="1:6" s="8" customFormat="1" x14ac:dyDescent="0.25">
      <c r="A124" s="3"/>
      <c r="B124" s="10"/>
      <c r="C124" s="10"/>
      <c r="D124" s="3"/>
      <c r="E124" s="133"/>
      <c r="F124" s="133"/>
    </row>
    <row r="125" spans="1:6" s="8" customFormat="1" x14ac:dyDescent="0.25">
      <c r="A125" s="3"/>
      <c r="B125" s="10"/>
      <c r="C125" s="10"/>
      <c r="D125" s="3"/>
      <c r="E125" s="133"/>
      <c r="F125" s="133"/>
    </row>
    <row r="126" spans="1:6" s="8" customFormat="1" x14ac:dyDescent="0.25">
      <c r="A126" s="3"/>
      <c r="B126" s="10"/>
      <c r="C126" s="10"/>
      <c r="D126" s="3"/>
      <c r="E126" s="133"/>
      <c r="F126" s="133"/>
    </row>
    <row r="127" spans="1:6" s="8" customFormat="1" x14ac:dyDescent="0.25">
      <c r="A127" s="3"/>
      <c r="B127" s="10"/>
      <c r="C127" s="10"/>
      <c r="D127" s="3"/>
      <c r="E127" s="133"/>
      <c r="F127" s="133"/>
    </row>
    <row r="128" spans="1:6" s="8" customFormat="1" x14ac:dyDescent="0.25">
      <c r="A128" s="3"/>
      <c r="B128" s="10"/>
      <c r="C128" s="10"/>
      <c r="D128" s="3"/>
      <c r="E128" s="133"/>
      <c r="F128" s="133"/>
    </row>
    <row r="129" spans="1:6" s="8" customFormat="1" x14ac:dyDescent="0.25">
      <c r="A129" s="3"/>
      <c r="B129" s="10"/>
      <c r="C129" s="10"/>
      <c r="D129" s="3"/>
      <c r="E129" s="133"/>
      <c r="F129" s="133"/>
    </row>
    <row r="130" spans="1:6" s="8" customFormat="1" x14ac:dyDescent="0.25">
      <c r="A130" s="3"/>
      <c r="B130" s="10"/>
      <c r="C130" s="10"/>
      <c r="D130" s="3"/>
      <c r="E130" s="133"/>
      <c r="F130" s="133"/>
    </row>
    <row r="131" spans="1:6" s="8" customFormat="1" x14ac:dyDescent="0.25">
      <c r="A131" s="3"/>
      <c r="B131" s="10"/>
      <c r="C131" s="10"/>
      <c r="D131" s="3"/>
      <c r="E131" s="133"/>
      <c r="F131" s="133"/>
    </row>
    <row r="132" spans="1:6" s="8" customFormat="1" x14ac:dyDescent="0.25">
      <c r="A132" s="3"/>
      <c r="B132" s="10"/>
      <c r="C132" s="10"/>
      <c r="D132" s="3"/>
      <c r="E132" s="133"/>
      <c r="F132" s="133"/>
    </row>
    <row r="133" spans="1:6" s="8" customFormat="1" x14ac:dyDescent="0.25">
      <c r="A133" s="3"/>
      <c r="B133" s="10"/>
      <c r="C133" s="10"/>
      <c r="D133" s="3"/>
      <c r="E133" s="133"/>
      <c r="F133" s="133"/>
    </row>
    <row r="134" spans="1:6" s="8" customFormat="1" x14ac:dyDescent="0.25">
      <c r="A134" s="3"/>
      <c r="B134" s="10"/>
      <c r="C134" s="10"/>
      <c r="D134" s="3"/>
      <c r="E134" s="133"/>
      <c r="F134" s="133"/>
    </row>
    <row r="135" spans="1:6" s="8" customFormat="1" x14ac:dyDescent="0.25">
      <c r="A135" s="3"/>
      <c r="B135" s="10"/>
      <c r="C135" s="10"/>
      <c r="D135" s="3"/>
      <c r="E135" s="133"/>
      <c r="F135" s="133"/>
    </row>
    <row r="136" spans="1:6" s="8" customFormat="1" x14ac:dyDescent="0.25">
      <c r="A136" s="3"/>
      <c r="B136" s="10"/>
      <c r="C136" s="10"/>
      <c r="D136" s="3"/>
      <c r="E136" s="133"/>
      <c r="F136" s="133"/>
    </row>
    <row r="137" spans="1:6" s="8" customFormat="1" x14ac:dyDescent="0.25">
      <c r="A137" s="3"/>
      <c r="B137" s="10"/>
      <c r="C137" s="10"/>
      <c r="D137" s="3"/>
      <c r="E137" s="133"/>
      <c r="F137" s="133"/>
    </row>
    <row r="138" spans="1:6" s="8" customFormat="1" x14ac:dyDescent="0.25">
      <c r="A138" s="3"/>
      <c r="B138" s="10"/>
      <c r="C138" s="10"/>
      <c r="D138" s="3"/>
      <c r="E138" s="133"/>
      <c r="F138" s="133"/>
    </row>
    <row r="139" spans="1:6" s="8" customFormat="1" x14ac:dyDescent="0.25">
      <c r="A139" s="3"/>
      <c r="B139" s="10"/>
      <c r="C139" s="10"/>
      <c r="D139" s="3"/>
      <c r="E139" s="133"/>
      <c r="F139" s="133"/>
    </row>
    <row r="140" spans="1:6" s="8" customFormat="1" x14ac:dyDescent="0.25">
      <c r="A140" s="3"/>
      <c r="B140" s="10"/>
      <c r="C140" s="10"/>
      <c r="D140" s="3"/>
      <c r="E140" s="133"/>
      <c r="F140" s="133"/>
    </row>
    <row r="141" spans="1:6" s="8" customFormat="1" x14ac:dyDescent="0.25">
      <c r="A141" s="3"/>
      <c r="B141" s="10"/>
      <c r="C141" s="10"/>
      <c r="D141" s="3"/>
      <c r="E141" s="133"/>
      <c r="F141" s="133"/>
    </row>
    <row r="142" spans="1:6" s="8" customFormat="1" x14ac:dyDescent="0.25">
      <c r="A142" s="3"/>
      <c r="B142" s="10"/>
      <c r="C142" s="10"/>
      <c r="D142" s="3"/>
      <c r="E142" s="133"/>
      <c r="F142" s="133"/>
    </row>
    <row r="143" spans="1:6" s="8" customFormat="1" x14ac:dyDescent="0.25">
      <c r="A143" s="3"/>
      <c r="B143" s="10"/>
      <c r="C143" s="10"/>
      <c r="D143" s="3"/>
      <c r="E143" s="133"/>
      <c r="F143" s="133"/>
    </row>
    <row r="144" spans="1:6" s="8" customFormat="1" x14ac:dyDescent="0.25">
      <c r="A144" s="3"/>
      <c r="B144" s="10"/>
      <c r="C144" s="10"/>
      <c r="D144" s="3"/>
      <c r="E144" s="133"/>
      <c r="F144" s="133"/>
    </row>
    <row r="145" spans="1:6" s="8" customFormat="1" x14ac:dyDescent="0.25">
      <c r="A145" s="3"/>
      <c r="B145" s="10"/>
      <c r="C145" s="10"/>
      <c r="D145" s="3"/>
      <c r="E145" s="133"/>
      <c r="F145" s="133"/>
    </row>
    <row r="146" spans="1:6" s="8" customFormat="1" x14ac:dyDescent="0.25">
      <c r="A146" s="3"/>
      <c r="B146" s="10"/>
      <c r="C146" s="10"/>
      <c r="D146" s="3"/>
      <c r="E146" s="133"/>
      <c r="F146" s="133"/>
    </row>
    <row r="147" spans="1:6" s="8" customFormat="1" x14ac:dyDescent="0.25">
      <c r="A147" s="3"/>
      <c r="B147" s="10"/>
      <c r="C147" s="10"/>
      <c r="D147" s="3"/>
      <c r="E147" s="133"/>
      <c r="F147" s="133"/>
    </row>
    <row r="148" spans="1:6" s="8" customFormat="1" x14ac:dyDescent="0.25">
      <c r="A148" s="3"/>
      <c r="B148" s="10"/>
      <c r="C148" s="10"/>
      <c r="D148" s="3"/>
      <c r="E148" s="133"/>
      <c r="F148" s="133"/>
    </row>
    <row r="149" spans="1:6" s="8" customFormat="1" x14ac:dyDescent="0.25">
      <c r="A149" s="3"/>
      <c r="B149" s="10"/>
      <c r="C149" s="10"/>
      <c r="D149" s="3"/>
      <c r="E149" s="133"/>
      <c r="F149" s="133"/>
    </row>
    <row r="150" spans="1:6" s="8" customFormat="1" x14ac:dyDescent="0.25">
      <c r="A150" s="3"/>
      <c r="B150" s="10"/>
      <c r="C150" s="10"/>
      <c r="D150" s="3"/>
      <c r="E150" s="133"/>
      <c r="F150" s="133"/>
    </row>
    <row r="151" spans="1:6" s="8" customFormat="1" x14ac:dyDescent="0.25">
      <c r="A151" s="3"/>
      <c r="B151" s="10"/>
      <c r="C151" s="10"/>
      <c r="D151" s="3"/>
      <c r="E151" s="133"/>
      <c r="F151" s="133"/>
    </row>
    <row r="152" spans="1:6" s="8" customFormat="1" x14ac:dyDescent="0.25">
      <c r="A152" s="3"/>
      <c r="B152" s="10"/>
      <c r="C152" s="10"/>
      <c r="D152" s="3"/>
      <c r="E152" s="133"/>
      <c r="F152" s="133"/>
    </row>
    <row r="153" spans="1:6" s="8" customFormat="1" x14ac:dyDescent="0.25">
      <c r="A153" s="3"/>
      <c r="B153" s="10"/>
      <c r="C153" s="10"/>
      <c r="D153" s="3"/>
      <c r="E153" s="133"/>
      <c r="F153" s="133"/>
    </row>
    <row r="154" spans="1:6" s="8" customFormat="1" x14ac:dyDescent="0.25">
      <c r="A154" s="3"/>
      <c r="B154" s="10"/>
      <c r="C154" s="10"/>
      <c r="D154" s="3"/>
      <c r="E154" s="133"/>
      <c r="F154" s="133"/>
    </row>
    <row r="155" spans="1:6" s="8" customFormat="1" x14ac:dyDescent="0.25">
      <c r="A155" s="3"/>
      <c r="B155" s="10"/>
      <c r="C155" s="10"/>
      <c r="D155" s="3"/>
      <c r="E155" s="133"/>
      <c r="F155" s="133"/>
    </row>
    <row r="156" spans="1:6" s="8" customFormat="1" x14ac:dyDescent="0.25">
      <c r="A156" s="3"/>
      <c r="B156" s="10"/>
      <c r="C156" s="10"/>
      <c r="D156" s="3"/>
      <c r="E156" s="133"/>
      <c r="F156" s="133"/>
    </row>
    <row r="157" spans="1:6" s="8" customFormat="1" x14ac:dyDescent="0.25">
      <c r="A157" s="3"/>
      <c r="B157" s="10"/>
      <c r="C157" s="10"/>
      <c r="D157" s="3"/>
      <c r="E157" s="133"/>
      <c r="F157" s="133"/>
    </row>
    <row r="158" spans="1:6" s="8" customFormat="1" x14ac:dyDescent="0.25">
      <c r="A158" s="3"/>
      <c r="B158" s="10"/>
      <c r="C158" s="10"/>
      <c r="D158" s="3"/>
      <c r="E158" s="133"/>
      <c r="F158" s="133"/>
    </row>
    <row r="159" spans="1:6" s="8" customFormat="1" x14ac:dyDescent="0.25">
      <c r="A159" s="3"/>
      <c r="B159" s="10"/>
      <c r="C159" s="10"/>
      <c r="D159" s="3"/>
      <c r="E159" s="133"/>
      <c r="F159" s="133"/>
    </row>
    <row r="160" spans="1:6" s="8" customFormat="1" x14ac:dyDescent="0.25">
      <c r="A160" s="3"/>
      <c r="B160" s="10"/>
      <c r="C160" s="10"/>
      <c r="D160" s="3"/>
      <c r="E160" s="133"/>
      <c r="F160" s="133"/>
    </row>
    <row r="161" spans="1:6" s="8" customFormat="1" x14ac:dyDescent="0.25">
      <c r="A161" s="3"/>
      <c r="B161" s="10"/>
      <c r="C161" s="10"/>
      <c r="D161" s="3"/>
      <c r="E161" s="133"/>
      <c r="F161" s="133"/>
    </row>
    <row r="162" spans="1:6" s="8" customFormat="1" x14ac:dyDescent="0.25">
      <c r="A162" s="3"/>
      <c r="B162" s="10"/>
      <c r="C162" s="10"/>
      <c r="D162" s="3"/>
      <c r="E162" s="133"/>
      <c r="F162" s="133"/>
    </row>
    <row r="163" spans="1:6" s="8" customFormat="1" x14ac:dyDescent="0.25">
      <c r="A163" s="3"/>
      <c r="B163" s="10"/>
      <c r="C163" s="10"/>
      <c r="D163" s="3"/>
      <c r="E163" s="133"/>
      <c r="F163" s="133"/>
    </row>
    <row r="164" spans="1:6" s="8" customFormat="1" x14ac:dyDescent="0.25">
      <c r="A164" s="3"/>
      <c r="B164" s="10"/>
      <c r="C164" s="10"/>
      <c r="D164" s="3"/>
      <c r="E164" s="133"/>
      <c r="F164" s="133"/>
    </row>
    <row r="165" spans="1:6" s="8" customFormat="1" x14ac:dyDescent="0.25">
      <c r="A165" s="3"/>
      <c r="B165" s="10"/>
      <c r="C165" s="10"/>
      <c r="D165" s="3"/>
      <c r="E165" s="133"/>
      <c r="F165" s="133"/>
    </row>
    <row r="166" spans="1:6" s="8" customFormat="1" x14ac:dyDescent="0.25">
      <c r="A166" s="3"/>
      <c r="B166" s="10"/>
      <c r="C166" s="10"/>
      <c r="D166" s="3"/>
      <c r="E166" s="133"/>
      <c r="F166" s="133"/>
    </row>
    <row r="167" spans="1:6" s="8" customFormat="1" x14ac:dyDescent="0.25">
      <c r="A167" s="3"/>
      <c r="B167" s="10"/>
      <c r="C167" s="10"/>
      <c r="D167" s="3"/>
      <c r="E167" s="133"/>
      <c r="F167" s="133"/>
    </row>
    <row r="168" spans="1:6" s="8" customFormat="1" x14ac:dyDescent="0.25">
      <c r="A168" s="3"/>
      <c r="B168" s="10"/>
      <c r="C168" s="10"/>
      <c r="D168" s="3"/>
      <c r="E168" s="133"/>
      <c r="F168" s="133"/>
    </row>
    <row r="169" spans="1:6" s="8" customFormat="1" x14ac:dyDescent="0.25">
      <c r="A169" s="3"/>
      <c r="B169" s="10"/>
      <c r="C169" s="10"/>
      <c r="D169" s="3"/>
      <c r="E169" s="133"/>
      <c r="F169" s="133"/>
    </row>
    <row r="170" spans="1:6" s="8" customFormat="1" x14ac:dyDescent="0.25">
      <c r="A170" s="3"/>
      <c r="B170" s="10"/>
      <c r="C170" s="10"/>
      <c r="D170" s="3"/>
      <c r="E170" s="133"/>
      <c r="F170" s="133"/>
    </row>
    <row r="171" spans="1:6" s="8" customFormat="1" x14ac:dyDescent="0.25">
      <c r="A171" s="3"/>
      <c r="B171" s="10"/>
      <c r="C171" s="10"/>
      <c r="D171" s="3"/>
      <c r="E171" s="133"/>
      <c r="F171" s="133"/>
    </row>
    <row r="172" spans="1:6" s="8" customFormat="1" x14ac:dyDescent="0.25">
      <c r="A172" s="3"/>
      <c r="B172" s="10"/>
      <c r="C172" s="10"/>
      <c r="D172" s="3"/>
      <c r="E172" s="133"/>
      <c r="F172" s="133"/>
    </row>
    <row r="173" spans="1:6" s="8" customFormat="1" x14ac:dyDescent="0.25">
      <c r="A173" s="3"/>
      <c r="B173" s="10"/>
      <c r="C173" s="10"/>
      <c r="D173" s="3"/>
      <c r="E173" s="133"/>
      <c r="F173" s="133"/>
    </row>
    <row r="174" spans="1:6" s="8" customFormat="1" x14ac:dyDescent="0.25">
      <c r="A174" s="3"/>
      <c r="B174" s="10"/>
      <c r="C174" s="10"/>
      <c r="D174" s="3"/>
      <c r="E174" s="133"/>
      <c r="F174" s="133"/>
    </row>
    <row r="175" spans="1:6" s="8" customFormat="1" x14ac:dyDescent="0.25">
      <c r="A175" s="3"/>
      <c r="B175" s="10"/>
      <c r="C175" s="10"/>
      <c r="D175" s="3"/>
      <c r="E175" s="133"/>
      <c r="F175" s="133"/>
    </row>
    <row r="176" spans="1:6" s="8" customFormat="1" x14ac:dyDescent="0.25">
      <c r="A176" s="3"/>
      <c r="B176" s="10"/>
      <c r="C176" s="10"/>
      <c r="D176" s="3"/>
      <c r="E176" s="133"/>
      <c r="F176" s="133"/>
    </row>
    <row r="177" spans="1:6" s="8" customFormat="1" x14ac:dyDescent="0.25">
      <c r="A177" s="3"/>
      <c r="B177" s="10"/>
      <c r="C177" s="10"/>
      <c r="D177" s="3"/>
      <c r="E177" s="133"/>
      <c r="F177" s="133"/>
    </row>
    <row r="178" spans="1:6" s="8" customFormat="1" x14ac:dyDescent="0.25">
      <c r="A178" s="3"/>
      <c r="B178" s="10"/>
      <c r="C178" s="10"/>
      <c r="D178" s="3"/>
      <c r="E178" s="133"/>
      <c r="F178" s="133"/>
    </row>
    <row r="179" spans="1:6" s="8" customFormat="1" x14ac:dyDescent="0.25">
      <c r="A179" s="3"/>
      <c r="B179" s="10"/>
      <c r="C179" s="10"/>
      <c r="D179" s="3"/>
      <c r="E179" s="133"/>
      <c r="F179" s="133"/>
    </row>
    <row r="180" spans="1:6" s="8" customFormat="1" x14ac:dyDescent="0.25">
      <c r="A180" s="3"/>
      <c r="B180" s="10"/>
      <c r="C180" s="10"/>
      <c r="D180" s="3"/>
      <c r="E180" s="133"/>
      <c r="F180" s="133"/>
    </row>
    <row r="181" spans="1:6" s="8" customFormat="1" x14ac:dyDescent="0.25">
      <c r="A181" s="3"/>
      <c r="B181" s="10"/>
      <c r="C181" s="10"/>
      <c r="D181" s="3"/>
      <c r="E181" s="133"/>
      <c r="F181" s="133"/>
    </row>
    <row r="182" spans="1:6" s="8" customFormat="1" x14ac:dyDescent="0.25">
      <c r="A182" s="3"/>
      <c r="B182" s="10"/>
      <c r="C182" s="10"/>
      <c r="D182" s="3"/>
      <c r="E182" s="133"/>
      <c r="F182" s="133"/>
    </row>
    <row r="183" spans="1:6" s="8" customFormat="1" x14ac:dyDescent="0.25">
      <c r="A183" s="3"/>
      <c r="B183" s="10"/>
      <c r="C183" s="10"/>
      <c r="D183" s="3"/>
      <c r="E183" s="133"/>
      <c r="F183" s="133"/>
    </row>
    <row r="184" spans="1:6" s="8" customFormat="1" x14ac:dyDescent="0.25">
      <c r="A184" s="3"/>
      <c r="B184" s="10"/>
      <c r="C184" s="10"/>
      <c r="D184" s="3"/>
      <c r="E184" s="133"/>
      <c r="F184" s="133"/>
    </row>
    <row r="185" spans="1:6" s="8" customFormat="1" x14ac:dyDescent="0.25">
      <c r="A185" s="3"/>
      <c r="B185" s="10"/>
      <c r="C185" s="10"/>
      <c r="D185" s="3"/>
      <c r="E185" s="133"/>
      <c r="F185" s="133"/>
    </row>
    <row r="186" spans="1:6" s="8" customFormat="1" x14ac:dyDescent="0.25">
      <c r="A186" s="3"/>
      <c r="B186" s="10"/>
      <c r="C186" s="10"/>
      <c r="D186" s="3"/>
      <c r="E186" s="133"/>
      <c r="F186" s="133"/>
    </row>
    <row r="187" spans="1:6" s="8" customFormat="1" x14ac:dyDescent="0.25">
      <c r="A187" s="3"/>
      <c r="B187" s="10"/>
      <c r="C187" s="10"/>
      <c r="D187" s="3"/>
      <c r="E187" s="133"/>
      <c r="F187" s="133"/>
    </row>
    <row r="188" spans="1:6" s="8" customFormat="1" x14ac:dyDescent="0.25">
      <c r="A188" s="3"/>
      <c r="B188" s="10"/>
      <c r="C188" s="10"/>
      <c r="D188" s="3"/>
      <c r="E188" s="133"/>
      <c r="F188" s="133"/>
    </row>
    <row r="189" spans="1:6" s="8" customFormat="1" x14ac:dyDescent="0.25">
      <c r="A189" s="3"/>
      <c r="B189" s="10"/>
      <c r="C189" s="10"/>
      <c r="D189" s="3"/>
      <c r="E189" s="133"/>
      <c r="F189" s="133"/>
    </row>
    <row r="190" spans="1:6" s="8" customFormat="1" x14ac:dyDescent="0.25">
      <c r="A190" s="3"/>
      <c r="B190" s="10"/>
      <c r="C190" s="10"/>
      <c r="D190" s="3"/>
      <c r="E190" s="133"/>
      <c r="F190" s="133"/>
    </row>
    <row r="191" spans="1:6" s="8" customFormat="1" x14ac:dyDescent="0.25">
      <c r="A191" s="3"/>
      <c r="B191" s="10"/>
      <c r="C191" s="10"/>
      <c r="D191" s="3"/>
      <c r="E191" s="133"/>
      <c r="F191" s="133"/>
    </row>
    <row r="192" spans="1:6" s="8" customFormat="1" x14ac:dyDescent="0.25">
      <c r="A192" s="3"/>
      <c r="B192" s="10"/>
      <c r="C192" s="10"/>
      <c r="D192" s="3"/>
      <c r="E192" s="133"/>
      <c r="F192" s="133"/>
    </row>
    <row r="193" spans="1:6" s="8" customFormat="1" x14ac:dyDescent="0.25">
      <c r="A193" s="3"/>
      <c r="B193" s="10"/>
      <c r="C193" s="10"/>
      <c r="D193" s="3"/>
      <c r="E193" s="133"/>
      <c r="F193" s="133"/>
    </row>
    <row r="194" spans="1:6" s="8" customFormat="1" x14ac:dyDescent="0.25">
      <c r="A194" s="3"/>
      <c r="B194" s="10"/>
      <c r="C194" s="10"/>
      <c r="D194" s="3"/>
      <c r="E194" s="133"/>
      <c r="F194" s="133"/>
    </row>
    <row r="195" spans="1:6" s="8" customFormat="1" x14ac:dyDescent="0.25">
      <c r="A195" s="3"/>
      <c r="B195" s="10"/>
      <c r="C195" s="10"/>
      <c r="D195" s="3"/>
      <c r="E195" s="133"/>
      <c r="F195" s="133"/>
    </row>
    <row r="196" spans="1:6" s="8" customFormat="1" x14ac:dyDescent="0.25">
      <c r="A196" s="3"/>
      <c r="B196" s="10"/>
      <c r="C196" s="10"/>
      <c r="D196" s="3"/>
      <c r="E196" s="133"/>
      <c r="F196" s="133"/>
    </row>
    <row r="197" spans="1:6" s="8" customFormat="1" x14ac:dyDescent="0.25">
      <c r="A197" s="3"/>
      <c r="B197" s="10"/>
      <c r="C197" s="10"/>
      <c r="D197" s="3"/>
      <c r="E197" s="133"/>
      <c r="F197" s="133"/>
    </row>
    <row r="198" spans="1:6" s="8" customFormat="1" x14ac:dyDescent="0.25">
      <c r="A198" s="3"/>
      <c r="B198" s="10"/>
      <c r="C198" s="10"/>
      <c r="D198" s="3"/>
      <c r="E198" s="133"/>
      <c r="F198" s="133"/>
    </row>
    <row r="199" spans="1:6" s="8" customFormat="1" x14ac:dyDescent="0.25">
      <c r="A199" s="3"/>
      <c r="B199" s="10"/>
      <c r="C199" s="10"/>
      <c r="D199" s="3"/>
      <c r="E199" s="133"/>
      <c r="F199" s="133"/>
    </row>
    <row r="200" spans="1:6" s="8" customFormat="1" x14ac:dyDescent="0.25">
      <c r="A200" s="3"/>
      <c r="B200" s="10"/>
      <c r="C200" s="10"/>
      <c r="D200" s="3"/>
      <c r="E200" s="133"/>
      <c r="F200" s="133"/>
    </row>
    <row r="201" spans="1:6" s="8" customFormat="1" x14ac:dyDescent="0.25">
      <c r="A201" s="3"/>
      <c r="B201" s="10"/>
      <c r="C201" s="10"/>
      <c r="D201" s="3"/>
      <c r="E201" s="133"/>
      <c r="F201" s="133"/>
    </row>
    <row r="202" spans="1:6" s="8" customFormat="1" x14ac:dyDescent="0.25">
      <c r="A202" s="3"/>
      <c r="B202" s="10"/>
      <c r="C202" s="10"/>
      <c r="D202" s="3"/>
      <c r="E202" s="133"/>
      <c r="F202" s="133"/>
    </row>
    <row r="203" spans="1:6" s="8" customFormat="1" x14ac:dyDescent="0.25">
      <c r="A203" s="3"/>
      <c r="B203" s="10"/>
      <c r="C203" s="10"/>
      <c r="D203" s="3"/>
      <c r="E203" s="133"/>
      <c r="F203" s="133"/>
    </row>
    <row r="204" spans="1:6" s="8" customFormat="1" x14ac:dyDescent="0.25">
      <c r="A204" s="3"/>
      <c r="B204" s="10"/>
      <c r="C204" s="10"/>
      <c r="D204" s="3"/>
      <c r="E204" s="133"/>
      <c r="F204" s="133"/>
    </row>
    <row r="205" spans="1:6" s="8" customFormat="1" x14ac:dyDescent="0.25">
      <c r="A205" s="3"/>
      <c r="B205" s="10"/>
      <c r="C205" s="10"/>
      <c r="D205" s="3"/>
      <c r="E205" s="133"/>
      <c r="F205" s="133"/>
    </row>
    <row r="206" spans="1:6" s="8" customFormat="1" x14ac:dyDescent="0.25">
      <c r="A206" s="3"/>
      <c r="B206" s="10"/>
      <c r="C206" s="10"/>
      <c r="D206" s="3"/>
      <c r="E206" s="133"/>
      <c r="F206" s="133"/>
    </row>
    <row r="207" spans="1:6" s="8" customFormat="1" x14ac:dyDescent="0.25">
      <c r="A207" s="3"/>
      <c r="B207" s="10"/>
      <c r="C207" s="10"/>
      <c r="D207" s="3"/>
      <c r="E207" s="133"/>
      <c r="F207" s="133"/>
    </row>
    <row r="208" spans="1:6" s="8" customFormat="1" x14ac:dyDescent="0.25">
      <c r="A208" s="3"/>
      <c r="B208" s="10"/>
      <c r="C208" s="10"/>
      <c r="D208" s="3"/>
      <c r="E208" s="133"/>
      <c r="F208" s="133"/>
    </row>
    <row r="209" spans="1:6" s="8" customFormat="1" x14ac:dyDescent="0.25">
      <c r="A209" s="3"/>
      <c r="B209" s="10"/>
      <c r="C209" s="10"/>
      <c r="D209" s="3"/>
      <c r="E209" s="133"/>
      <c r="F209" s="133"/>
    </row>
    <row r="210" spans="1:6" s="8" customFormat="1" x14ac:dyDescent="0.25">
      <c r="A210" s="3"/>
      <c r="B210" s="10"/>
      <c r="C210" s="10"/>
      <c r="D210" s="3"/>
      <c r="E210" s="133"/>
      <c r="F210" s="133"/>
    </row>
    <row r="211" spans="1:6" s="8" customFormat="1" x14ac:dyDescent="0.25">
      <c r="A211" s="3"/>
      <c r="B211" s="10"/>
      <c r="C211" s="10"/>
      <c r="D211" s="3"/>
      <c r="E211" s="133"/>
      <c r="F211" s="133"/>
    </row>
    <row r="212" spans="1:6" s="8" customFormat="1" x14ac:dyDescent="0.25">
      <c r="A212" s="3"/>
      <c r="B212" s="10"/>
      <c r="C212" s="10"/>
      <c r="D212" s="3"/>
      <c r="E212" s="133"/>
      <c r="F212" s="133"/>
    </row>
    <row r="213" spans="1:6" s="8" customFormat="1" x14ac:dyDescent="0.25">
      <c r="A213" s="3"/>
      <c r="B213" s="10"/>
      <c r="C213" s="10"/>
      <c r="D213" s="3"/>
      <c r="E213" s="133"/>
      <c r="F213" s="133"/>
    </row>
    <row r="214" spans="1:6" s="8" customFormat="1" x14ac:dyDescent="0.25">
      <c r="A214" s="3"/>
      <c r="B214" s="10"/>
      <c r="C214" s="10"/>
      <c r="D214" s="3"/>
      <c r="E214" s="133"/>
      <c r="F214" s="133"/>
    </row>
    <row r="215" spans="1:6" s="8" customFormat="1" x14ac:dyDescent="0.25">
      <c r="A215" s="3"/>
      <c r="B215" s="10"/>
      <c r="C215" s="10"/>
      <c r="D215" s="3"/>
      <c r="E215" s="133"/>
      <c r="F215" s="133"/>
    </row>
    <row r="216" spans="1:6" s="8" customFormat="1" x14ac:dyDescent="0.25">
      <c r="A216" s="3"/>
      <c r="B216" s="10"/>
      <c r="C216" s="10"/>
      <c r="D216" s="3"/>
      <c r="E216" s="133"/>
      <c r="F216" s="133"/>
    </row>
    <row r="217" spans="1:6" s="8" customFormat="1" x14ac:dyDescent="0.25">
      <c r="A217" s="3"/>
      <c r="B217" s="10"/>
      <c r="C217" s="10"/>
      <c r="D217" s="3"/>
      <c r="E217" s="133"/>
      <c r="F217" s="133"/>
    </row>
    <row r="218" spans="1:6" s="8" customFormat="1" x14ac:dyDescent="0.25">
      <c r="A218" s="3"/>
      <c r="B218" s="10"/>
      <c r="C218" s="10"/>
      <c r="D218" s="3"/>
      <c r="E218" s="133"/>
      <c r="F218" s="133"/>
    </row>
    <row r="219" spans="1:6" s="8" customFormat="1" x14ac:dyDescent="0.25">
      <c r="A219" s="3"/>
      <c r="B219" s="10"/>
      <c r="C219" s="10"/>
      <c r="D219" s="3"/>
      <c r="E219" s="133"/>
      <c r="F219" s="133"/>
    </row>
    <row r="220" spans="1:6" s="8" customFormat="1" x14ac:dyDescent="0.25">
      <c r="A220" s="3"/>
      <c r="B220" s="10"/>
      <c r="C220" s="10"/>
      <c r="D220" s="3"/>
      <c r="E220" s="133"/>
      <c r="F220" s="133"/>
    </row>
    <row r="221" spans="1:6" s="8" customFormat="1" x14ac:dyDescent="0.25">
      <c r="A221" s="3"/>
      <c r="B221" s="10"/>
      <c r="C221" s="10"/>
      <c r="D221" s="3"/>
      <c r="E221" s="133"/>
      <c r="F221" s="133"/>
    </row>
  </sheetData>
  <sheetProtection algorithmName="SHA-512" hashValue="2+FEzSgsxHjvVv5DQmTkrnRtJYG6qOxwai0ALnU1qXUowZ0ZaVosV8jHtr4i2dsbKdkTrchdpV4ICN7mrPoM+Q==" saltValue="bPZSfXhL1MZ+zBkpKoUsjQ==" spinCount="100000" sheet="1" objects="1" scenarios="1" selectLockedCells="1"/>
  <mergeCells count="2">
    <mergeCell ref="B12:D14"/>
    <mergeCell ref="A1:F2"/>
  </mergeCells>
  <pageMargins left="4.2519685039370083" right="0.70866141732283472" top="0.94488188976377963" bottom="0" header="0.31496062992125984" footer="0.31496062992125984"/>
  <pageSetup paperSize="8"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O36"/>
  <sheetViews>
    <sheetView showGridLines="0" zoomScale="115" zoomScaleNormal="115" workbookViewId="0">
      <selection activeCell="D9" sqref="D9"/>
    </sheetView>
  </sheetViews>
  <sheetFormatPr defaultColWidth="8.85546875" defaultRowHeight="11.25" x14ac:dyDescent="0.25"/>
  <cols>
    <col min="1" max="1" width="6.7109375" style="22" customWidth="1"/>
    <col min="2" max="2" width="32.28515625" style="22" customWidth="1"/>
    <col min="3" max="3" width="6.42578125" style="22" customWidth="1"/>
    <col min="4" max="4" width="12.7109375" style="22" customWidth="1"/>
    <col min="5" max="5" width="13.5703125" style="22" customWidth="1"/>
    <col min="6" max="6" width="14.85546875" style="22" customWidth="1"/>
    <col min="7" max="7" width="16.5703125" style="22" customWidth="1"/>
    <col min="8" max="8" width="17.140625" style="22" customWidth="1"/>
    <col min="9" max="9" width="18.140625" style="5" customWidth="1"/>
    <col min="10" max="10" width="19.28515625" style="22" customWidth="1"/>
    <col min="11" max="11" width="21.140625" style="22" customWidth="1"/>
    <col min="12" max="12" width="21.85546875" style="22" customWidth="1"/>
    <col min="13" max="13" width="14.7109375" style="22" customWidth="1"/>
    <col min="14" max="15" width="13.7109375" style="22" customWidth="1"/>
    <col min="16" max="16384" width="8.85546875" style="22"/>
  </cols>
  <sheetData>
    <row r="1" spans="1:15" ht="11.25" customHeight="1" x14ac:dyDescent="0.25">
      <c r="A1" s="282" t="s">
        <v>1564</v>
      </c>
      <c r="B1" s="282"/>
      <c r="C1" s="282"/>
      <c r="D1" s="282"/>
      <c r="E1" s="282"/>
      <c r="F1" s="282"/>
      <c r="G1" s="282"/>
      <c r="H1" s="282"/>
      <c r="I1" s="282"/>
      <c r="J1" s="282"/>
      <c r="K1" s="282"/>
      <c r="L1" s="282"/>
      <c r="M1" s="282"/>
      <c r="N1" s="282"/>
      <c r="O1" s="282"/>
    </row>
    <row r="2" spans="1:15" ht="11.25" customHeight="1" x14ac:dyDescent="0.25">
      <c r="A2" s="282"/>
      <c r="B2" s="282"/>
      <c r="C2" s="282"/>
      <c r="D2" s="282"/>
      <c r="E2" s="282"/>
      <c r="F2" s="282"/>
      <c r="G2" s="282"/>
      <c r="H2" s="282"/>
      <c r="I2" s="282"/>
      <c r="J2" s="282"/>
      <c r="K2" s="282"/>
      <c r="L2" s="282"/>
      <c r="M2" s="282"/>
      <c r="N2" s="282"/>
      <c r="O2" s="282"/>
    </row>
    <row r="3" spans="1:15" ht="35.25" customHeight="1" x14ac:dyDescent="0.25">
      <c r="A3" s="21" t="s">
        <v>1119</v>
      </c>
      <c r="B3" s="1" t="s">
        <v>1081</v>
      </c>
      <c r="C3" s="1" t="s">
        <v>1132</v>
      </c>
      <c r="D3" s="177" t="s">
        <v>1082</v>
      </c>
      <c r="E3" s="178" t="s">
        <v>1083</v>
      </c>
      <c r="F3" s="177" t="s">
        <v>1563</v>
      </c>
      <c r="G3" s="177" t="s">
        <v>1084</v>
      </c>
      <c r="H3" s="1" t="s">
        <v>1085</v>
      </c>
      <c r="I3" s="178" t="s">
        <v>1086</v>
      </c>
      <c r="J3" s="1" t="s">
        <v>1116</v>
      </c>
      <c r="K3" s="177" t="s">
        <v>1087</v>
      </c>
      <c r="L3" s="177" t="s">
        <v>1088</v>
      </c>
      <c r="M3" s="6" t="s">
        <v>1089</v>
      </c>
      <c r="N3" s="21" t="s">
        <v>1321</v>
      </c>
      <c r="O3" s="21" t="s">
        <v>1322</v>
      </c>
    </row>
    <row r="4" spans="1:15" ht="12.6" customHeight="1" x14ac:dyDescent="0.25">
      <c r="A4" s="151">
        <v>1</v>
      </c>
      <c r="B4" s="152" t="s">
        <v>1090</v>
      </c>
      <c r="C4" s="152">
        <v>3</v>
      </c>
      <c r="D4" s="166"/>
      <c r="E4" s="166"/>
      <c r="F4" s="166"/>
      <c r="G4" s="166"/>
      <c r="H4" s="153">
        <f>SUM(Pessoal_Dados[[#This Row],[PISO SALARIAL]:[ADIC. NOTURNO + DSR + FERIADO REMUNERADO]])</f>
        <v>0</v>
      </c>
      <c r="I4" s="166"/>
      <c r="J4" s="153">
        <f>Pessoal_Dados[[#This Row],[REMUNERAÇÃO]]+Pessoal_Dados[[#This Row],[ENCARGOS - SOCIAIS E TRABALHISTAS]]</f>
        <v>0</v>
      </c>
      <c r="K4" s="166"/>
      <c r="L4" s="166"/>
      <c r="M4" s="153">
        <f>Pessoal_Dados[[#This Row],[GASTO COM MOB]]+Pessoal_Dados[[#This Row],[CUSTOS COM INSUMOS]]+Pessoal_Dados[[#This Row],[OUTROS INSUMOS]]</f>
        <v>0</v>
      </c>
      <c r="N4" s="208">
        <f>Pessoal_Dados[[#This Row],[GASTO INDVIDUAL TOTAL]]*Pessoal_Dados[[#This Row],[QUANT]]</f>
        <v>0</v>
      </c>
      <c r="O4" s="208">
        <f>Pessoal_Valores[[#This Row],[VALOR MÊS]]*12</f>
        <v>0</v>
      </c>
    </row>
    <row r="5" spans="1:15" ht="12.6" customHeight="1" x14ac:dyDescent="0.25">
      <c r="A5" s="150">
        <v>2</v>
      </c>
      <c r="B5" s="154" t="s">
        <v>1091</v>
      </c>
      <c r="C5" s="154">
        <v>10</v>
      </c>
      <c r="D5" s="167"/>
      <c r="E5" s="167"/>
      <c r="F5" s="167"/>
      <c r="G5" s="167"/>
      <c r="H5" s="155">
        <f>SUM(Pessoal_Dados[[#This Row],[PISO SALARIAL]:[ADIC. NOTURNO + DSR + FERIADO REMUNERADO]])</f>
        <v>0</v>
      </c>
      <c r="I5" s="167"/>
      <c r="J5" s="155">
        <f>Pessoal_Dados[[#This Row],[REMUNERAÇÃO]]+Pessoal_Dados[[#This Row],[ENCARGOS - SOCIAIS E TRABALHISTAS]]</f>
        <v>0</v>
      </c>
      <c r="K5" s="167"/>
      <c r="L5" s="167"/>
      <c r="M5" s="155">
        <f>Pessoal_Dados[[#This Row],[GASTO COM MOB]]+Pessoal_Dados[[#This Row],[CUSTOS COM INSUMOS]]+Pessoal_Dados[[#This Row],[OUTROS INSUMOS]]</f>
        <v>0</v>
      </c>
      <c r="N5" s="155">
        <f>Pessoal_Dados[[#This Row],[GASTO INDVIDUAL TOTAL]]*Pessoal_Dados[[#This Row],[QUANT]]</f>
        <v>0</v>
      </c>
      <c r="O5" s="155">
        <f>Pessoal_Valores[[#This Row],[VALOR MÊS]]*12</f>
        <v>0</v>
      </c>
    </row>
    <row r="6" spans="1:15" ht="12.6" customHeight="1" x14ac:dyDescent="0.25">
      <c r="A6" s="150">
        <v>3</v>
      </c>
      <c r="B6" s="154" t="s">
        <v>1092</v>
      </c>
      <c r="C6" s="154">
        <f>15+2</f>
        <v>17</v>
      </c>
      <c r="D6" s="167"/>
      <c r="E6" s="167"/>
      <c r="F6" s="167"/>
      <c r="G6" s="167"/>
      <c r="H6" s="155">
        <f>SUM(Pessoal_Dados[[#This Row],[PISO SALARIAL]:[ADIC. NOTURNO + DSR + FERIADO REMUNERADO]])</f>
        <v>0</v>
      </c>
      <c r="I6" s="167"/>
      <c r="J6" s="155">
        <f>Pessoal_Dados[[#This Row],[REMUNERAÇÃO]]+Pessoal_Dados[[#This Row],[ENCARGOS - SOCIAIS E TRABALHISTAS]]</f>
        <v>0</v>
      </c>
      <c r="K6" s="167"/>
      <c r="L6" s="167"/>
      <c r="M6" s="155">
        <f>Pessoal_Dados[[#This Row],[GASTO COM MOB]]+Pessoal_Dados[[#This Row],[CUSTOS COM INSUMOS]]+Pessoal_Dados[[#This Row],[OUTROS INSUMOS]]</f>
        <v>0</v>
      </c>
      <c r="N6" s="209">
        <f>Pessoal_Dados[[#This Row],[GASTO INDVIDUAL TOTAL]]*Pessoal_Dados[[#This Row],[QUANT]]</f>
        <v>0</v>
      </c>
      <c r="O6" s="209">
        <f>Pessoal_Valores[[#This Row],[VALOR MÊS]]*12</f>
        <v>0</v>
      </c>
    </row>
    <row r="7" spans="1:15" ht="12.6" customHeight="1" x14ac:dyDescent="0.25">
      <c r="A7" s="151">
        <v>4</v>
      </c>
      <c r="B7" s="154" t="s">
        <v>1093</v>
      </c>
      <c r="C7" s="154">
        <v>4</v>
      </c>
      <c r="D7" s="167"/>
      <c r="E7" s="167"/>
      <c r="F7" s="167"/>
      <c r="G7" s="167"/>
      <c r="H7" s="155">
        <f>SUM(Pessoal_Dados[[#This Row],[PISO SALARIAL]:[ADIC. NOTURNO + DSR + FERIADO REMUNERADO]])</f>
        <v>0</v>
      </c>
      <c r="I7" s="167"/>
      <c r="J7" s="155">
        <f>Pessoal_Dados[[#This Row],[REMUNERAÇÃO]]+Pessoal_Dados[[#This Row],[ENCARGOS - SOCIAIS E TRABALHISTAS]]</f>
        <v>0</v>
      </c>
      <c r="K7" s="167"/>
      <c r="L7" s="167"/>
      <c r="M7" s="155">
        <f>Pessoal_Dados[[#This Row],[GASTO COM MOB]]+Pessoal_Dados[[#This Row],[CUSTOS COM INSUMOS]]+Pessoal_Dados[[#This Row],[OUTROS INSUMOS]]</f>
        <v>0</v>
      </c>
      <c r="N7" s="155">
        <f>Pessoal_Dados[[#This Row],[GASTO INDVIDUAL TOTAL]]*Pessoal_Dados[[#This Row],[QUANT]]</f>
        <v>0</v>
      </c>
      <c r="O7" s="155">
        <f>Pessoal_Valores[[#This Row],[VALOR MÊS]]*12</f>
        <v>0</v>
      </c>
    </row>
    <row r="8" spans="1:15" ht="12.6" customHeight="1" x14ac:dyDescent="0.25">
      <c r="A8" s="150">
        <v>5</v>
      </c>
      <c r="B8" s="154" t="s">
        <v>1608</v>
      </c>
      <c r="C8" s="154">
        <v>2</v>
      </c>
      <c r="D8" s="167"/>
      <c r="E8" s="167"/>
      <c r="F8" s="167"/>
      <c r="G8" s="167"/>
      <c r="H8" s="155">
        <f>SUM(Pessoal_Dados[[#This Row],[PISO SALARIAL]:[ADIC. NOTURNO + DSR + FERIADO REMUNERADO]])</f>
        <v>0</v>
      </c>
      <c r="I8" s="167"/>
      <c r="J8" s="155">
        <f>Pessoal_Dados[[#This Row],[REMUNERAÇÃO]]+Pessoal_Dados[[#This Row],[ENCARGOS - SOCIAIS E TRABALHISTAS]]</f>
        <v>0</v>
      </c>
      <c r="K8" s="167"/>
      <c r="L8" s="167"/>
      <c r="M8" s="155">
        <f>Pessoal_Dados[[#This Row],[GASTO COM MOB]]+Pessoal_Dados[[#This Row],[CUSTOS COM INSUMOS]]+Pessoal_Dados[[#This Row],[OUTROS INSUMOS]]</f>
        <v>0</v>
      </c>
      <c r="N8" s="209">
        <f>Pessoal_Dados[[#This Row],[GASTO INDVIDUAL TOTAL]]*Pessoal_Dados[[#This Row],[QUANT]]</f>
        <v>0</v>
      </c>
      <c r="O8" s="209">
        <f>Pessoal_Valores[[#This Row],[VALOR MÊS]]*12</f>
        <v>0</v>
      </c>
    </row>
    <row r="9" spans="1:15" ht="12.6" customHeight="1" x14ac:dyDescent="0.25">
      <c r="A9" s="150">
        <v>6</v>
      </c>
      <c r="B9" s="154" t="s">
        <v>1094</v>
      </c>
      <c r="C9" s="154">
        <v>8</v>
      </c>
      <c r="D9" s="167"/>
      <c r="E9" s="167"/>
      <c r="F9" s="167"/>
      <c r="G9" s="167"/>
      <c r="H9" s="155">
        <f>SUM(Pessoal_Dados[[#This Row],[PISO SALARIAL]:[ADIC. NOTURNO + DSR + FERIADO REMUNERADO]])</f>
        <v>0</v>
      </c>
      <c r="I9" s="167"/>
      <c r="J9" s="155">
        <f>Pessoal_Dados[[#This Row],[REMUNERAÇÃO]]+Pessoal_Dados[[#This Row],[ENCARGOS - SOCIAIS E TRABALHISTAS]]</f>
        <v>0</v>
      </c>
      <c r="K9" s="167"/>
      <c r="L9" s="167"/>
      <c r="M9" s="155">
        <f>Pessoal_Dados[[#This Row],[GASTO COM MOB]]+Pessoal_Dados[[#This Row],[CUSTOS COM INSUMOS]]+Pessoal_Dados[[#This Row],[OUTROS INSUMOS]]</f>
        <v>0</v>
      </c>
      <c r="N9" s="155">
        <f>Pessoal_Dados[[#This Row],[GASTO INDVIDUAL TOTAL]]*Pessoal_Dados[[#This Row],[QUANT]]</f>
        <v>0</v>
      </c>
      <c r="O9" s="155">
        <f>Pessoal_Valores[[#This Row],[VALOR MÊS]]*12</f>
        <v>0</v>
      </c>
    </row>
    <row r="10" spans="1:15" ht="12.6" customHeight="1" x14ac:dyDescent="0.25">
      <c r="A10" s="151">
        <v>7</v>
      </c>
      <c r="B10" s="154" t="s">
        <v>1095</v>
      </c>
      <c r="C10" s="154">
        <v>4</v>
      </c>
      <c r="D10" s="167"/>
      <c r="E10" s="167"/>
      <c r="F10" s="167"/>
      <c r="G10" s="167"/>
      <c r="H10" s="155">
        <f>SUM(Pessoal_Dados[[#This Row],[PISO SALARIAL]:[ADIC. NOTURNO + DSR + FERIADO REMUNERADO]])</f>
        <v>0</v>
      </c>
      <c r="I10" s="167"/>
      <c r="J10" s="155">
        <f>Pessoal_Dados[[#This Row],[REMUNERAÇÃO]]+Pessoal_Dados[[#This Row],[ENCARGOS - SOCIAIS E TRABALHISTAS]]</f>
        <v>0</v>
      </c>
      <c r="K10" s="167"/>
      <c r="L10" s="167"/>
      <c r="M10" s="155">
        <f>Pessoal_Dados[[#This Row],[GASTO COM MOB]]+Pessoal_Dados[[#This Row],[CUSTOS COM INSUMOS]]+Pessoal_Dados[[#This Row],[OUTROS INSUMOS]]</f>
        <v>0</v>
      </c>
      <c r="N10" s="209">
        <f>Pessoal_Dados[[#This Row],[GASTO INDVIDUAL TOTAL]]*Pessoal_Dados[[#This Row],[QUANT]]</f>
        <v>0</v>
      </c>
      <c r="O10" s="209">
        <f>Pessoal_Valores[[#This Row],[VALOR MÊS]]*12</f>
        <v>0</v>
      </c>
    </row>
    <row r="11" spans="1:15" ht="12.6" customHeight="1" x14ac:dyDescent="0.25">
      <c r="A11" s="150">
        <v>8</v>
      </c>
      <c r="B11" s="154" t="s">
        <v>1609</v>
      </c>
      <c r="C11" s="154">
        <v>2</v>
      </c>
      <c r="D11" s="167"/>
      <c r="E11" s="167"/>
      <c r="F11" s="167"/>
      <c r="G11" s="167"/>
      <c r="H11" s="155">
        <f>SUM(Pessoal_Dados[[#This Row],[PISO SALARIAL]:[ADIC. NOTURNO + DSR + FERIADO REMUNERADO]])</f>
        <v>0</v>
      </c>
      <c r="I11" s="167"/>
      <c r="J11" s="155">
        <f>Pessoal_Dados[[#This Row],[REMUNERAÇÃO]]+Pessoal_Dados[[#This Row],[ENCARGOS - SOCIAIS E TRABALHISTAS]]</f>
        <v>0</v>
      </c>
      <c r="K11" s="167"/>
      <c r="L11" s="167"/>
      <c r="M11" s="155">
        <f>Pessoal_Dados[[#This Row],[GASTO COM MOB]]+Pessoal_Dados[[#This Row],[CUSTOS COM INSUMOS]]+Pessoal_Dados[[#This Row],[OUTROS INSUMOS]]</f>
        <v>0</v>
      </c>
      <c r="N11" s="155">
        <f>Pessoal_Dados[[#This Row],[GASTO INDVIDUAL TOTAL]]*Pessoal_Dados[[#This Row],[QUANT]]</f>
        <v>0</v>
      </c>
      <c r="O11" s="155">
        <f>Pessoal_Valores[[#This Row],[VALOR MÊS]]*12</f>
        <v>0</v>
      </c>
    </row>
    <row r="12" spans="1:15" ht="12.6" customHeight="1" x14ac:dyDescent="0.25">
      <c r="A12" s="150">
        <v>9</v>
      </c>
      <c r="B12" s="154" t="s">
        <v>1096</v>
      </c>
      <c r="C12" s="154">
        <v>8</v>
      </c>
      <c r="D12" s="167"/>
      <c r="E12" s="167"/>
      <c r="F12" s="167"/>
      <c r="G12" s="167"/>
      <c r="H12" s="155">
        <f>SUM(Pessoal_Dados[[#This Row],[PISO SALARIAL]:[ADIC. NOTURNO + DSR + FERIADO REMUNERADO]])</f>
        <v>0</v>
      </c>
      <c r="I12" s="167"/>
      <c r="J12" s="155">
        <f>Pessoal_Dados[[#This Row],[REMUNERAÇÃO]]+Pessoal_Dados[[#This Row],[ENCARGOS - SOCIAIS E TRABALHISTAS]]</f>
        <v>0</v>
      </c>
      <c r="K12" s="167"/>
      <c r="L12" s="167"/>
      <c r="M12" s="155">
        <f>Pessoal_Dados[[#This Row],[GASTO COM MOB]]+Pessoal_Dados[[#This Row],[CUSTOS COM INSUMOS]]+Pessoal_Dados[[#This Row],[OUTROS INSUMOS]]</f>
        <v>0</v>
      </c>
      <c r="N12" s="209">
        <f>Pessoal_Dados[[#This Row],[GASTO INDVIDUAL TOTAL]]*Pessoal_Dados[[#This Row],[QUANT]]</f>
        <v>0</v>
      </c>
      <c r="O12" s="209">
        <f>Pessoal_Valores[[#This Row],[VALOR MÊS]]*12</f>
        <v>0</v>
      </c>
    </row>
    <row r="13" spans="1:15" ht="12.6" customHeight="1" x14ac:dyDescent="0.25">
      <c r="A13" s="151">
        <v>10</v>
      </c>
      <c r="B13" s="154" t="s">
        <v>1097</v>
      </c>
      <c r="C13" s="154">
        <v>2</v>
      </c>
      <c r="D13" s="167"/>
      <c r="E13" s="167"/>
      <c r="F13" s="167"/>
      <c r="G13" s="167"/>
      <c r="H13" s="155">
        <f>SUM(Pessoal_Dados[[#This Row],[PISO SALARIAL]:[ADIC. NOTURNO + DSR + FERIADO REMUNERADO]])</f>
        <v>0</v>
      </c>
      <c r="I13" s="167"/>
      <c r="J13" s="155">
        <f>Pessoal_Dados[[#This Row],[REMUNERAÇÃO]]+Pessoal_Dados[[#This Row],[ENCARGOS - SOCIAIS E TRABALHISTAS]]</f>
        <v>0</v>
      </c>
      <c r="K13" s="167"/>
      <c r="L13" s="167"/>
      <c r="M13" s="155">
        <f>Pessoal_Dados[[#This Row],[GASTO COM MOB]]+Pessoal_Dados[[#This Row],[CUSTOS COM INSUMOS]]+Pessoal_Dados[[#This Row],[OUTROS INSUMOS]]</f>
        <v>0</v>
      </c>
      <c r="N13" s="155">
        <f>Pessoal_Dados[[#This Row],[GASTO INDVIDUAL TOTAL]]*Pessoal_Dados[[#This Row],[QUANT]]</f>
        <v>0</v>
      </c>
      <c r="O13" s="155">
        <f>Pessoal_Valores[[#This Row],[VALOR MÊS]]*12</f>
        <v>0</v>
      </c>
    </row>
    <row r="14" spans="1:15" ht="12.6" customHeight="1" x14ac:dyDescent="0.25">
      <c r="A14" s="150">
        <v>11</v>
      </c>
      <c r="B14" s="154" t="s">
        <v>1098</v>
      </c>
      <c r="C14" s="154">
        <v>10</v>
      </c>
      <c r="D14" s="167"/>
      <c r="E14" s="167"/>
      <c r="F14" s="167"/>
      <c r="G14" s="167"/>
      <c r="H14" s="155">
        <f>SUM(Pessoal_Dados[[#This Row],[PISO SALARIAL]:[ADIC. NOTURNO + DSR + FERIADO REMUNERADO]])</f>
        <v>0</v>
      </c>
      <c r="I14" s="167"/>
      <c r="J14" s="155">
        <f>Pessoal_Dados[[#This Row],[REMUNERAÇÃO]]+Pessoal_Dados[[#This Row],[ENCARGOS - SOCIAIS E TRABALHISTAS]]</f>
        <v>0</v>
      </c>
      <c r="K14" s="167"/>
      <c r="L14" s="167"/>
      <c r="M14" s="155">
        <f>Pessoal_Dados[[#This Row],[GASTO COM MOB]]+Pessoal_Dados[[#This Row],[CUSTOS COM INSUMOS]]+Pessoal_Dados[[#This Row],[OUTROS INSUMOS]]</f>
        <v>0</v>
      </c>
      <c r="N14" s="209">
        <f>Pessoal_Dados[[#This Row],[GASTO INDVIDUAL TOTAL]]*Pessoal_Dados[[#This Row],[QUANT]]</f>
        <v>0</v>
      </c>
      <c r="O14" s="209">
        <f>Pessoal_Valores[[#This Row],[VALOR MÊS]]*12</f>
        <v>0</v>
      </c>
    </row>
    <row r="15" spans="1:15" ht="12.6" customHeight="1" x14ac:dyDescent="0.25">
      <c r="A15" s="150">
        <v>12</v>
      </c>
      <c r="B15" s="154" t="s">
        <v>1099</v>
      </c>
      <c r="C15" s="154">
        <v>12</v>
      </c>
      <c r="D15" s="167"/>
      <c r="E15" s="167"/>
      <c r="F15" s="167"/>
      <c r="G15" s="167"/>
      <c r="H15" s="155">
        <f>SUM(Pessoal_Dados[[#This Row],[PISO SALARIAL]:[ADIC. NOTURNO + DSR + FERIADO REMUNERADO]])</f>
        <v>0</v>
      </c>
      <c r="I15" s="167"/>
      <c r="J15" s="155">
        <f>Pessoal_Dados[[#This Row],[REMUNERAÇÃO]]+Pessoal_Dados[[#This Row],[ENCARGOS - SOCIAIS E TRABALHISTAS]]</f>
        <v>0</v>
      </c>
      <c r="K15" s="167"/>
      <c r="L15" s="167"/>
      <c r="M15" s="155">
        <f>Pessoal_Dados[[#This Row],[GASTO COM MOB]]+Pessoal_Dados[[#This Row],[CUSTOS COM INSUMOS]]+Pessoal_Dados[[#This Row],[OUTROS INSUMOS]]</f>
        <v>0</v>
      </c>
      <c r="N15" s="155">
        <f>Pessoal_Dados[[#This Row],[GASTO INDVIDUAL TOTAL]]*Pessoal_Dados[[#This Row],[QUANT]]</f>
        <v>0</v>
      </c>
      <c r="O15" s="155">
        <f>Pessoal_Valores[[#This Row],[VALOR MÊS]]*12</f>
        <v>0</v>
      </c>
    </row>
    <row r="16" spans="1:15" ht="12.6" customHeight="1" x14ac:dyDescent="0.25">
      <c r="A16" s="151">
        <v>13</v>
      </c>
      <c r="B16" s="154" t="s">
        <v>1100</v>
      </c>
      <c r="C16" s="154">
        <v>3</v>
      </c>
      <c r="D16" s="167"/>
      <c r="E16" s="167"/>
      <c r="F16" s="167"/>
      <c r="G16" s="167"/>
      <c r="H16" s="155">
        <f>SUM(Pessoal_Dados[[#This Row],[PISO SALARIAL]:[ADIC. NOTURNO + DSR + FERIADO REMUNERADO]])</f>
        <v>0</v>
      </c>
      <c r="I16" s="167"/>
      <c r="J16" s="155">
        <f>Pessoal_Dados[[#This Row],[REMUNERAÇÃO]]+Pessoal_Dados[[#This Row],[ENCARGOS - SOCIAIS E TRABALHISTAS]]</f>
        <v>0</v>
      </c>
      <c r="K16" s="167"/>
      <c r="L16" s="167"/>
      <c r="M16" s="155">
        <f>Pessoal_Dados[[#This Row],[GASTO COM MOB]]+Pessoal_Dados[[#This Row],[CUSTOS COM INSUMOS]]+Pessoal_Dados[[#This Row],[OUTROS INSUMOS]]</f>
        <v>0</v>
      </c>
      <c r="N16" s="209">
        <f>Pessoal_Dados[[#This Row],[GASTO INDVIDUAL TOTAL]]*Pessoal_Dados[[#This Row],[QUANT]]</f>
        <v>0</v>
      </c>
      <c r="O16" s="209">
        <f>Pessoal_Valores[[#This Row],[VALOR MÊS]]*12</f>
        <v>0</v>
      </c>
    </row>
    <row r="17" spans="1:15" ht="12.6" customHeight="1" x14ac:dyDescent="0.25">
      <c r="A17" s="150">
        <v>14</v>
      </c>
      <c r="B17" s="154" t="s">
        <v>1101</v>
      </c>
      <c r="C17" s="154">
        <v>6</v>
      </c>
      <c r="D17" s="167"/>
      <c r="E17" s="167"/>
      <c r="F17" s="167"/>
      <c r="G17" s="167"/>
      <c r="H17" s="155">
        <f>SUM(Pessoal_Dados[[#This Row],[PISO SALARIAL]:[ADIC. NOTURNO + DSR + FERIADO REMUNERADO]])</f>
        <v>0</v>
      </c>
      <c r="I17" s="167"/>
      <c r="J17" s="155">
        <f>Pessoal_Dados[[#This Row],[REMUNERAÇÃO]]+Pessoal_Dados[[#This Row],[ENCARGOS - SOCIAIS E TRABALHISTAS]]</f>
        <v>0</v>
      </c>
      <c r="K17" s="167"/>
      <c r="L17" s="167"/>
      <c r="M17" s="155">
        <f>Pessoal_Dados[[#This Row],[GASTO COM MOB]]+Pessoal_Dados[[#This Row],[CUSTOS COM INSUMOS]]+Pessoal_Dados[[#This Row],[OUTROS INSUMOS]]</f>
        <v>0</v>
      </c>
      <c r="N17" s="155">
        <f>Pessoal_Dados[[#This Row],[GASTO INDVIDUAL TOTAL]]*Pessoal_Dados[[#This Row],[QUANT]]</f>
        <v>0</v>
      </c>
      <c r="O17" s="155">
        <f>Pessoal_Valores[[#This Row],[VALOR MÊS]]*12</f>
        <v>0</v>
      </c>
    </row>
    <row r="18" spans="1:15" ht="12.6" customHeight="1" x14ac:dyDescent="0.25">
      <c r="A18" s="150">
        <v>15</v>
      </c>
      <c r="B18" s="154" t="s">
        <v>1102</v>
      </c>
      <c r="C18" s="154">
        <v>4</v>
      </c>
      <c r="D18" s="167"/>
      <c r="E18" s="167"/>
      <c r="F18" s="167"/>
      <c r="G18" s="167"/>
      <c r="H18" s="155">
        <f>SUM(Pessoal_Dados[[#This Row],[PISO SALARIAL]:[ADIC. NOTURNO + DSR + FERIADO REMUNERADO]])</f>
        <v>0</v>
      </c>
      <c r="I18" s="167"/>
      <c r="J18" s="155">
        <f>Pessoal_Dados[[#This Row],[REMUNERAÇÃO]]+Pessoal_Dados[[#This Row],[ENCARGOS - SOCIAIS E TRABALHISTAS]]</f>
        <v>0</v>
      </c>
      <c r="K18" s="167"/>
      <c r="L18" s="167"/>
      <c r="M18" s="155">
        <f>Pessoal_Dados[[#This Row],[GASTO COM MOB]]+Pessoal_Dados[[#This Row],[CUSTOS COM INSUMOS]]+Pessoal_Dados[[#This Row],[OUTROS INSUMOS]]</f>
        <v>0</v>
      </c>
      <c r="N18" s="209">
        <f>Pessoal_Dados[[#This Row],[GASTO INDVIDUAL TOTAL]]*Pessoal_Dados[[#This Row],[QUANT]]</f>
        <v>0</v>
      </c>
      <c r="O18" s="209">
        <f>Pessoal_Valores[[#This Row],[VALOR MÊS]]*12</f>
        <v>0</v>
      </c>
    </row>
    <row r="19" spans="1:15" ht="12.6" customHeight="1" x14ac:dyDescent="0.25">
      <c r="A19" s="151">
        <v>16</v>
      </c>
      <c r="B19" s="154" t="s">
        <v>1103</v>
      </c>
      <c r="C19" s="154">
        <v>1</v>
      </c>
      <c r="D19" s="167"/>
      <c r="E19" s="167"/>
      <c r="F19" s="167"/>
      <c r="G19" s="167"/>
      <c r="H19" s="155">
        <f>SUM(Pessoal_Dados[[#This Row],[PISO SALARIAL]:[ADIC. NOTURNO + DSR + FERIADO REMUNERADO]])</f>
        <v>0</v>
      </c>
      <c r="I19" s="167"/>
      <c r="J19" s="155">
        <f>Pessoal_Dados[[#This Row],[REMUNERAÇÃO]]+Pessoal_Dados[[#This Row],[ENCARGOS - SOCIAIS E TRABALHISTAS]]</f>
        <v>0</v>
      </c>
      <c r="K19" s="167"/>
      <c r="L19" s="167"/>
      <c r="M19" s="155">
        <f>Pessoal_Dados[[#This Row],[GASTO COM MOB]]+Pessoal_Dados[[#This Row],[CUSTOS COM INSUMOS]]+Pessoal_Dados[[#This Row],[OUTROS INSUMOS]]</f>
        <v>0</v>
      </c>
      <c r="N19" s="155">
        <f>Pessoal_Dados[[#This Row],[GASTO INDVIDUAL TOTAL]]*Pessoal_Dados[[#This Row],[QUANT]]</f>
        <v>0</v>
      </c>
      <c r="O19" s="155">
        <f>Pessoal_Valores[[#This Row],[VALOR MÊS]]*12</f>
        <v>0</v>
      </c>
    </row>
    <row r="20" spans="1:15" ht="12.6" customHeight="1" x14ac:dyDescent="0.25">
      <c r="A20" s="150">
        <v>17</v>
      </c>
      <c r="B20" s="154" t="s">
        <v>1104</v>
      </c>
      <c r="C20" s="154">
        <v>2</v>
      </c>
      <c r="D20" s="167"/>
      <c r="E20" s="167"/>
      <c r="F20" s="167"/>
      <c r="G20" s="167"/>
      <c r="H20" s="155">
        <f>SUM(Pessoal_Dados[[#This Row],[PISO SALARIAL]:[ADIC. NOTURNO + DSR + FERIADO REMUNERADO]])</f>
        <v>0</v>
      </c>
      <c r="I20" s="167"/>
      <c r="J20" s="155">
        <f>Pessoal_Dados[[#This Row],[REMUNERAÇÃO]]+Pessoal_Dados[[#This Row],[ENCARGOS - SOCIAIS E TRABALHISTAS]]</f>
        <v>0</v>
      </c>
      <c r="K20" s="167"/>
      <c r="L20" s="167"/>
      <c r="M20" s="155">
        <f>Pessoal_Dados[[#This Row],[GASTO COM MOB]]+Pessoal_Dados[[#This Row],[CUSTOS COM INSUMOS]]+Pessoal_Dados[[#This Row],[OUTROS INSUMOS]]</f>
        <v>0</v>
      </c>
      <c r="N20" s="209">
        <f>Pessoal_Dados[[#This Row],[GASTO INDVIDUAL TOTAL]]*Pessoal_Dados[[#This Row],[QUANT]]</f>
        <v>0</v>
      </c>
      <c r="O20" s="209">
        <f>Pessoal_Valores[[#This Row],[VALOR MÊS]]*12</f>
        <v>0</v>
      </c>
    </row>
    <row r="21" spans="1:15" ht="12.6" customHeight="1" x14ac:dyDescent="0.25">
      <c r="A21" s="150">
        <v>18</v>
      </c>
      <c r="B21" s="154" t="s">
        <v>1105</v>
      </c>
      <c r="C21" s="154">
        <v>5</v>
      </c>
      <c r="D21" s="167"/>
      <c r="E21" s="167"/>
      <c r="F21" s="167"/>
      <c r="G21" s="167"/>
      <c r="H21" s="155">
        <f>SUM(Pessoal_Dados[[#This Row],[PISO SALARIAL]:[ADIC. NOTURNO + DSR + FERIADO REMUNERADO]])</f>
        <v>0</v>
      </c>
      <c r="I21" s="167"/>
      <c r="J21" s="155">
        <f>Pessoal_Dados[[#This Row],[REMUNERAÇÃO]]+Pessoal_Dados[[#This Row],[ENCARGOS - SOCIAIS E TRABALHISTAS]]</f>
        <v>0</v>
      </c>
      <c r="K21" s="167"/>
      <c r="L21" s="167"/>
      <c r="M21" s="155">
        <f>Pessoal_Dados[[#This Row],[GASTO COM MOB]]+Pessoal_Dados[[#This Row],[CUSTOS COM INSUMOS]]+Pessoal_Dados[[#This Row],[OUTROS INSUMOS]]</f>
        <v>0</v>
      </c>
      <c r="N21" s="155">
        <f>Pessoal_Dados[[#This Row],[GASTO INDVIDUAL TOTAL]]*Pessoal_Dados[[#This Row],[QUANT]]</f>
        <v>0</v>
      </c>
      <c r="O21" s="155">
        <f>Pessoal_Valores[[#This Row],[VALOR MÊS]]*12</f>
        <v>0</v>
      </c>
    </row>
    <row r="22" spans="1:15" ht="12.6" customHeight="1" x14ac:dyDescent="0.25">
      <c r="A22" s="151">
        <v>19</v>
      </c>
      <c r="B22" s="154" t="s">
        <v>1106</v>
      </c>
      <c r="C22" s="154">
        <v>8</v>
      </c>
      <c r="D22" s="167"/>
      <c r="E22" s="167"/>
      <c r="F22" s="167"/>
      <c r="G22" s="167"/>
      <c r="H22" s="155">
        <f>SUM(Pessoal_Dados[[#This Row],[PISO SALARIAL]:[ADIC. NOTURNO + DSR + FERIADO REMUNERADO]])</f>
        <v>0</v>
      </c>
      <c r="I22" s="167"/>
      <c r="J22" s="155">
        <f>Pessoal_Dados[[#This Row],[REMUNERAÇÃO]]+Pessoal_Dados[[#This Row],[ENCARGOS - SOCIAIS E TRABALHISTAS]]</f>
        <v>0</v>
      </c>
      <c r="K22" s="167"/>
      <c r="L22" s="167"/>
      <c r="M22" s="155">
        <f>Pessoal_Dados[[#This Row],[GASTO COM MOB]]+Pessoal_Dados[[#This Row],[CUSTOS COM INSUMOS]]+Pessoal_Dados[[#This Row],[OUTROS INSUMOS]]</f>
        <v>0</v>
      </c>
      <c r="N22" s="209">
        <f>Pessoal_Dados[[#This Row],[GASTO INDVIDUAL TOTAL]]*Pessoal_Dados[[#This Row],[QUANT]]</f>
        <v>0</v>
      </c>
      <c r="O22" s="209">
        <f>Pessoal_Valores[[#This Row],[VALOR MÊS]]*12</f>
        <v>0</v>
      </c>
    </row>
    <row r="23" spans="1:15" ht="12.6" customHeight="1" x14ac:dyDescent="0.25">
      <c r="A23" s="150">
        <v>20</v>
      </c>
      <c r="B23" s="154" t="s">
        <v>1610</v>
      </c>
      <c r="C23" s="154">
        <v>2</v>
      </c>
      <c r="D23" s="167"/>
      <c r="E23" s="167"/>
      <c r="F23" s="167"/>
      <c r="G23" s="167"/>
      <c r="H23" s="155">
        <f>SUM(Pessoal_Dados[[#This Row],[PISO SALARIAL]:[ADIC. NOTURNO + DSR + FERIADO REMUNERADO]])</f>
        <v>0</v>
      </c>
      <c r="I23" s="167"/>
      <c r="J23" s="155">
        <f>Pessoal_Dados[[#This Row],[REMUNERAÇÃO]]+Pessoal_Dados[[#This Row],[ENCARGOS - SOCIAIS E TRABALHISTAS]]</f>
        <v>0</v>
      </c>
      <c r="K23" s="167"/>
      <c r="L23" s="167"/>
      <c r="M23" s="155">
        <f>Pessoal_Dados[[#This Row],[GASTO COM MOB]]+Pessoal_Dados[[#This Row],[CUSTOS COM INSUMOS]]+Pessoal_Dados[[#This Row],[OUTROS INSUMOS]]</f>
        <v>0</v>
      </c>
      <c r="N23" s="155">
        <f>Pessoal_Dados[[#This Row],[GASTO INDVIDUAL TOTAL]]*Pessoal_Dados[[#This Row],[QUANT]]</f>
        <v>0</v>
      </c>
      <c r="O23" s="155">
        <f>Pessoal_Valores[[#This Row],[VALOR MÊS]]*12</f>
        <v>0</v>
      </c>
    </row>
    <row r="24" spans="1:15" ht="12.6" customHeight="1" x14ac:dyDescent="0.25">
      <c r="A24" s="150">
        <v>21</v>
      </c>
      <c r="B24" s="154" t="s">
        <v>1107</v>
      </c>
      <c r="C24" s="154">
        <v>9</v>
      </c>
      <c r="D24" s="167"/>
      <c r="E24" s="167"/>
      <c r="F24" s="167"/>
      <c r="G24" s="167"/>
      <c r="H24" s="155">
        <f>SUM(Pessoal_Dados[[#This Row],[PISO SALARIAL]:[ADIC. NOTURNO + DSR + FERIADO REMUNERADO]])</f>
        <v>0</v>
      </c>
      <c r="I24" s="167"/>
      <c r="J24" s="155">
        <f>Pessoal_Dados[[#This Row],[REMUNERAÇÃO]]+Pessoal_Dados[[#This Row],[ENCARGOS - SOCIAIS E TRABALHISTAS]]</f>
        <v>0</v>
      </c>
      <c r="K24" s="167"/>
      <c r="L24" s="167"/>
      <c r="M24" s="155">
        <f>Pessoal_Dados[[#This Row],[GASTO COM MOB]]+Pessoal_Dados[[#This Row],[CUSTOS COM INSUMOS]]+Pessoal_Dados[[#This Row],[OUTROS INSUMOS]]</f>
        <v>0</v>
      </c>
      <c r="N24" s="209">
        <f>Pessoal_Dados[[#This Row],[GASTO INDVIDUAL TOTAL]]*Pessoal_Dados[[#This Row],[QUANT]]</f>
        <v>0</v>
      </c>
      <c r="O24" s="209">
        <f>Pessoal_Valores[[#This Row],[VALOR MÊS]]*12</f>
        <v>0</v>
      </c>
    </row>
    <row r="25" spans="1:15" ht="12.6" customHeight="1" x14ac:dyDescent="0.25">
      <c r="A25" s="151">
        <v>22</v>
      </c>
      <c r="B25" s="154" t="s">
        <v>1108</v>
      </c>
      <c r="C25" s="154">
        <v>2</v>
      </c>
      <c r="D25" s="167"/>
      <c r="E25" s="167"/>
      <c r="F25" s="167"/>
      <c r="G25" s="167"/>
      <c r="H25" s="155">
        <f>SUM(Pessoal_Dados[[#This Row],[PISO SALARIAL]:[ADIC. NOTURNO + DSR + FERIADO REMUNERADO]])</f>
        <v>0</v>
      </c>
      <c r="I25" s="167"/>
      <c r="J25" s="155">
        <f>Pessoal_Dados[[#This Row],[REMUNERAÇÃO]]+Pessoal_Dados[[#This Row],[ENCARGOS - SOCIAIS E TRABALHISTAS]]</f>
        <v>0</v>
      </c>
      <c r="K25" s="167"/>
      <c r="L25" s="167"/>
      <c r="M25" s="155">
        <f>Pessoal_Dados[[#This Row],[GASTO COM MOB]]+Pessoal_Dados[[#This Row],[CUSTOS COM INSUMOS]]+Pessoal_Dados[[#This Row],[OUTROS INSUMOS]]</f>
        <v>0</v>
      </c>
      <c r="N25" s="155">
        <f>Pessoal_Dados[[#This Row],[GASTO INDVIDUAL TOTAL]]*Pessoal_Dados[[#This Row],[QUANT]]</f>
        <v>0</v>
      </c>
      <c r="O25" s="155">
        <f>Pessoal_Valores[[#This Row],[VALOR MÊS]]*12</f>
        <v>0</v>
      </c>
    </row>
    <row r="26" spans="1:15" ht="12.6" customHeight="1" x14ac:dyDescent="0.25">
      <c r="A26" s="150">
        <v>23</v>
      </c>
      <c r="B26" s="154" t="s">
        <v>1109</v>
      </c>
      <c r="C26" s="154">
        <v>2</v>
      </c>
      <c r="D26" s="167"/>
      <c r="E26" s="167"/>
      <c r="F26" s="167"/>
      <c r="G26" s="167"/>
      <c r="H26" s="155">
        <f>SUM(Pessoal_Dados[[#This Row],[PISO SALARIAL]:[ADIC. NOTURNO + DSR + FERIADO REMUNERADO]])</f>
        <v>0</v>
      </c>
      <c r="I26" s="167"/>
      <c r="J26" s="155">
        <f>Pessoal_Dados[[#This Row],[REMUNERAÇÃO]]+Pessoal_Dados[[#This Row],[ENCARGOS - SOCIAIS E TRABALHISTAS]]</f>
        <v>0</v>
      </c>
      <c r="K26" s="167"/>
      <c r="L26" s="167"/>
      <c r="M26" s="155">
        <f>Pessoal_Dados[[#This Row],[GASTO COM MOB]]+Pessoal_Dados[[#This Row],[CUSTOS COM INSUMOS]]+Pessoal_Dados[[#This Row],[OUTROS INSUMOS]]</f>
        <v>0</v>
      </c>
      <c r="N26" s="209">
        <f>Pessoal_Dados[[#This Row],[GASTO INDVIDUAL TOTAL]]*Pessoal_Dados[[#This Row],[QUANT]]</f>
        <v>0</v>
      </c>
      <c r="O26" s="209">
        <f>Pessoal_Valores[[#This Row],[VALOR MÊS]]*12</f>
        <v>0</v>
      </c>
    </row>
    <row r="27" spans="1:15" ht="12.6" customHeight="1" x14ac:dyDescent="0.25">
      <c r="A27" s="150">
        <v>24</v>
      </c>
      <c r="B27" s="154" t="s">
        <v>1611</v>
      </c>
      <c r="C27" s="154">
        <v>2</v>
      </c>
      <c r="D27" s="167"/>
      <c r="E27" s="167"/>
      <c r="F27" s="167"/>
      <c r="G27" s="167"/>
      <c r="H27" s="155">
        <f>SUM(Pessoal_Dados[[#This Row],[PISO SALARIAL]:[ADIC. NOTURNO + DSR + FERIADO REMUNERADO]])</f>
        <v>0</v>
      </c>
      <c r="I27" s="167"/>
      <c r="J27" s="155">
        <f>Pessoal_Dados[[#This Row],[REMUNERAÇÃO]]+Pessoal_Dados[[#This Row],[ENCARGOS - SOCIAIS E TRABALHISTAS]]</f>
        <v>0</v>
      </c>
      <c r="K27" s="167"/>
      <c r="L27" s="167"/>
      <c r="M27" s="155">
        <f>Pessoal_Dados[[#This Row],[GASTO COM MOB]]+Pessoal_Dados[[#This Row],[CUSTOS COM INSUMOS]]+Pessoal_Dados[[#This Row],[OUTROS INSUMOS]]</f>
        <v>0</v>
      </c>
      <c r="N27" s="155">
        <f>Pessoal_Dados[[#This Row],[GASTO INDVIDUAL TOTAL]]*Pessoal_Dados[[#This Row],[QUANT]]</f>
        <v>0</v>
      </c>
      <c r="O27" s="155">
        <f>Pessoal_Valores[[#This Row],[VALOR MÊS]]*12</f>
        <v>0</v>
      </c>
    </row>
    <row r="28" spans="1:15" ht="12.6" customHeight="1" x14ac:dyDescent="0.25">
      <c r="A28" s="151">
        <v>25</v>
      </c>
      <c r="B28" s="154" t="s">
        <v>1110</v>
      </c>
      <c r="C28" s="154">
        <v>5</v>
      </c>
      <c r="D28" s="167"/>
      <c r="E28" s="167"/>
      <c r="F28" s="167"/>
      <c r="G28" s="167"/>
      <c r="H28" s="155">
        <f>SUM(Pessoal_Dados[[#This Row],[PISO SALARIAL]:[ADIC. NOTURNO + DSR + FERIADO REMUNERADO]])</f>
        <v>0</v>
      </c>
      <c r="I28" s="167"/>
      <c r="J28" s="155">
        <f>Pessoal_Dados[[#This Row],[REMUNERAÇÃO]]+Pessoal_Dados[[#This Row],[ENCARGOS - SOCIAIS E TRABALHISTAS]]</f>
        <v>0</v>
      </c>
      <c r="K28" s="167"/>
      <c r="L28" s="167"/>
      <c r="M28" s="155">
        <f>Pessoal_Dados[[#This Row],[GASTO COM MOB]]+Pessoal_Dados[[#This Row],[CUSTOS COM INSUMOS]]+Pessoal_Dados[[#This Row],[OUTROS INSUMOS]]</f>
        <v>0</v>
      </c>
      <c r="N28" s="209">
        <f>Pessoal_Dados[[#This Row],[GASTO INDVIDUAL TOTAL]]*Pessoal_Dados[[#This Row],[QUANT]]</f>
        <v>0</v>
      </c>
      <c r="O28" s="209">
        <f>Pessoal_Valores[[#This Row],[VALOR MÊS]]*12</f>
        <v>0</v>
      </c>
    </row>
    <row r="29" spans="1:15" ht="12.6" customHeight="1" x14ac:dyDescent="0.25">
      <c r="A29" s="150">
        <v>26</v>
      </c>
      <c r="B29" s="154" t="s">
        <v>1111</v>
      </c>
      <c r="C29" s="154">
        <f>13+1</f>
        <v>14</v>
      </c>
      <c r="D29" s="167"/>
      <c r="E29" s="167"/>
      <c r="F29" s="167"/>
      <c r="G29" s="167"/>
      <c r="H29" s="155">
        <f>SUM(Pessoal_Dados[[#This Row],[PISO SALARIAL]:[ADIC. NOTURNO + DSR + FERIADO REMUNERADO]])</f>
        <v>0</v>
      </c>
      <c r="I29" s="167"/>
      <c r="J29" s="155">
        <f>Pessoal_Dados[[#This Row],[REMUNERAÇÃO]]+Pessoal_Dados[[#This Row],[ENCARGOS - SOCIAIS E TRABALHISTAS]]</f>
        <v>0</v>
      </c>
      <c r="K29" s="167"/>
      <c r="L29" s="167"/>
      <c r="M29" s="155">
        <f>Pessoal_Dados[[#This Row],[GASTO COM MOB]]+Pessoal_Dados[[#This Row],[CUSTOS COM INSUMOS]]+Pessoal_Dados[[#This Row],[OUTROS INSUMOS]]</f>
        <v>0</v>
      </c>
      <c r="N29" s="155">
        <f>Pessoal_Dados[[#This Row],[GASTO INDVIDUAL TOTAL]]*Pessoal_Dados[[#This Row],[QUANT]]</f>
        <v>0</v>
      </c>
      <c r="O29" s="155">
        <f>Pessoal_Valores[[#This Row],[VALOR MÊS]]*12</f>
        <v>0</v>
      </c>
    </row>
    <row r="30" spans="1:15" ht="12.6" customHeight="1" x14ac:dyDescent="0.25">
      <c r="A30" s="150">
        <v>27</v>
      </c>
      <c r="B30" s="154" t="s">
        <v>1612</v>
      </c>
      <c r="C30" s="154">
        <v>2</v>
      </c>
      <c r="D30" s="167"/>
      <c r="E30" s="167"/>
      <c r="F30" s="167"/>
      <c r="G30" s="167"/>
      <c r="H30" s="155">
        <f>SUM(Pessoal_Dados[[#This Row],[PISO SALARIAL]:[ADIC. NOTURNO + DSR + FERIADO REMUNERADO]])</f>
        <v>0</v>
      </c>
      <c r="I30" s="167"/>
      <c r="J30" s="155">
        <f>Pessoal_Dados[[#This Row],[REMUNERAÇÃO]]+Pessoal_Dados[[#This Row],[ENCARGOS - SOCIAIS E TRABALHISTAS]]</f>
        <v>0</v>
      </c>
      <c r="K30" s="167"/>
      <c r="L30" s="167"/>
      <c r="M30" s="155">
        <f>Pessoal_Dados[[#This Row],[GASTO COM MOB]]+Pessoal_Dados[[#This Row],[CUSTOS COM INSUMOS]]+Pessoal_Dados[[#This Row],[OUTROS INSUMOS]]</f>
        <v>0</v>
      </c>
      <c r="N30" s="209">
        <f>Pessoal_Dados[[#This Row],[GASTO INDVIDUAL TOTAL]]*Pessoal_Dados[[#This Row],[QUANT]]</f>
        <v>0</v>
      </c>
      <c r="O30" s="209">
        <f>Pessoal_Valores[[#This Row],[VALOR MÊS]]*12</f>
        <v>0</v>
      </c>
    </row>
    <row r="31" spans="1:15" ht="12.6" customHeight="1" x14ac:dyDescent="0.25">
      <c r="A31" s="151">
        <v>28</v>
      </c>
      <c r="B31" s="154" t="s">
        <v>1112</v>
      </c>
      <c r="C31" s="154">
        <v>20</v>
      </c>
      <c r="D31" s="167"/>
      <c r="E31" s="167"/>
      <c r="F31" s="167"/>
      <c r="G31" s="167"/>
      <c r="H31" s="155">
        <f>SUM(Pessoal_Dados[[#This Row],[PISO SALARIAL]:[ADIC. NOTURNO + DSR + FERIADO REMUNERADO]])</f>
        <v>0</v>
      </c>
      <c r="I31" s="167"/>
      <c r="J31" s="155">
        <f>Pessoal_Dados[[#This Row],[REMUNERAÇÃO]]+Pessoal_Dados[[#This Row],[ENCARGOS - SOCIAIS E TRABALHISTAS]]</f>
        <v>0</v>
      </c>
      <c r="K31" s="167"/>
      <c r="L31" s="167"/>
      <c r="M31" s="155">
        <f>Pessoal_Dados[[#This Row],[GASTO COM MOB]]+Pessoal_Dados[[#This Row],[CUSTOS COM INSUMOS]]+Pessoal_Dados[[#This Row],[OUTROS INSUMOS]]</f>
        <v>0</v>
      </c>
      <c r="N31" s="155">
        <f>Pessoal_Dados[[#This Row],[GASTO INDVIDUAL TOTAL]]*Pessoal_Dados[[#This Row],[QUANT]]</f>
        <v>0</v>
      </c>
      <c r="O31" s="155">
        <f>Pessoal_Valores[[#This Row],[VALOR MÊS]]*12</f>
        <v>0</v>
      </c>
    </row>
    <row r="32" spans="1:15" ht="12.6" customHeight="1" x14ac:dyDescent="0.25">
      <c r="A32" s="150">
        <v>29</v>
      </c>
      <c r="B32" s="154" t="s">
        <v>1113</v>
      </c>
      <c r="C32" s="154">
        <v>8</v>
      </c>
      <c r="D32" s="167"/>
      <c r="E32" s="167"/>
      <c r="F32" s="167"/>
      <c r="G32" s="167"/>
      <c r="H32" s="155">
        <f>SUM(Pessoal_Dados[[#This Row],[PISO SALARIAL]:[ADIC. NOTURNO + DSR + FERIADO REMUNERADO]])</f>
        <v>0</v>
      </c>
      <c r="I32" s="167"/>
      <c r="J32" s="155">
        <f>Pessoal_Dados[[#This Row],[REMUNERAÇÃO]]+Pessoal_Dados[[#This Row],[ENCARGOS - SOCIAIS E TRABALHISTAS]]</f>
        <v>0</v>
      </c>
      <c r="K32" s="167"/>
      <c r="L32" s="167"/>
      <c r="M32" s="155">
        <f>Pessoal_Dados[[#This Row],[GASTO COM MOB]]+Pessoal_Dados[[#This Row],[CUSTOS COM INSUMOS]]+Pessoal_Dados[[#This Row],[OUTROS INSUMOS]]</f>
        <v>0</v>
      </c>
      <c r="N32" s="209">
        <f>Pessoal_Dados[[#This Row],[GASTO INDVIDUAL TOTAL]]*Pessoal_Dados[[#This Row],[QUANT]]</f>
        <v>0</v>
      </c>
      <c r="O32" s="209">
        <f>Pessoal_Valores[[#This Row],[VALOR MÊS]]*12</f>
        <v>0</v>
      </c>
    </row>
    <row r="33" spans="1:15" ht="12.6" customHeight="1" x14ac:dyDescent="0.25">
      <c r="A33" s="150">
        <v>30</v>
      </c>
      <c r="B33" s="154" t="s">
        <v>1114</v>
      </c>
      <c r="C33" s="154">
        <v>6</v>
      </c>
      <c r="D33" s="167"/>
      <c r="E33" s="167"/>
      <c r="F33" s="167"/>
      <c r="G33" s="167"/>
      <c r="H33" s="155">
        <f>SUM(Pessoal_Dados[[#This Row],[PISO SALARIAL]:[ADIC. NOTURNO + DSR + FERIADO REMUNERADO]])</f>
        <v>0</v>
      </c>
      <c r="I33" s="167"/>
      <c r="J33" s="155">
        <f>Pessoal_Dados[[#This Row],[REMUNERAÇÃO]]+Pessoal_Dados[[#This Row],[ENCARGOS - SOCIAIS E TRABALHISTAS]]</f>
        <v>0</v>
      </c>
      <c r="K33" s="167"/>
      <c r="L33" s="167"/>
      <c r="M33" s="155">
        <f>Pessoal_Dados[[#This Row],[GASTO COM MOB]]+Pessoal_Dados[[#This Row],[CUSTOS COM INSUMOS]]+Pessoal_Dados[[#This Row],[OUTROS INSUMOS]]</f>
        <v>0</v>
      </c>
      <c r="N33" s="155">
        <f>Pessoal_Dados[[#This Row],[GASTO INDVIDUAL TOTAL]]*Pessoal_Dados[[#This Row],[QUANT]]</f>
        <v>0</v>
      </c>
      <c r="O33" s="155">
        <f>Pessoal_Valores[[#This Row],[VALOR MÊS]]*12</f>
        <v>0</v>
      </c>
    </row>
    <row r="34" spans="1:15" ht="12.6" customHeight="1" x14ac:dyDescent="0.25">
      <c r="A34" s="151">
        <v>31</v>
      </c>
      <c r="B34" s="154" t="s">
        <v>1613</v>
      </c>
      <c r="C34" s="154">
        <v>1</v>
      </c>
      <c r="D34" s="167"/>
      <c r="E34" s="167"/>
      <c r="F34" s="167"/>
      <c r="G34" s="167"/>
      <c r="H34" s="155">
        <f>SUM(Pessoal_Dados[[#This Row],[PISO SALARIAL]:[ADIC. NOTURNO + DSR + FERIADO REMUNERADO]])</f>
        <v>0</v>
      </c>
      <c r="I34" s="167"/>
      <c r="J34" s="155">
        <f>Pessoal_Dados[[#This Row],[REMUNERAÇÃO]]+Pessoal_Dados[[#This Row],[ENCARGOS - SOCIAIS E TRABALHISTAS]]</f>
        <v>0</v>
      </c>
      <c r="K34" s="167"/>
      <c r="L34" s="167"/>
      <c r="M34" s="155">
        <f>Pessoal_Dados[[#This Row],[GASTO COM MOB]]+Pessoal_Dados[[#This Row],[CUSTOS COM INSUMOS]]+Pessoal_Dados[[#This Row],[OUTROS INSUMOS]]</f>
        <v>0</v>
      </c>
      <c r="N34" s="209">
        <f>Pessoal_Dados[[#This Row],[GASTO INDVIDUAL TOTAL]]*Pessoal_Dados[[#This Row],[QUANT]]</f>
        <v>0</v>
      </c>
      <c r="O34" s="209">
        <f>Pessoal_Valores[[#This Row],[VALOR MÊS]]*12</f>
        <v>0</v>
      </c>
    </row>
    <row r="35" spans="1:15" ht="12.6" customHeight="1" x14ac:dyDescent="0.25">
      <c r="A35" s="150">
        <v>32</v>
      </c>
      <c r="B35" s="154" t="s">
        <v>1115</v>
      </c>
      <c r="C35" s="154">
        <v>3</v>
      </c>
      <c r="D35" s="167"/>
      <c r="E35" s="167"/>
      <c r="F35" s="167"/>
      <c r="G35" s="167"/>
      <c r="H35" s="155">
        <f>SUM(Pessoal_Dados[[#This Row],[PISO SALARIAL]:[ADIC. NOTURNO + DSR + FERIADO REMUNERADO]])</f>
        <v>0</v>
      </c>
      <c r="I35" s="167"/>
      <c r="J35" s="155">
        <f>Pessoal_Dados[[#This Row],[REMUNERAÇÃO]]+Pessoal_Dados[[#This Row],[ENCARGOS - SOCIAIS E TRABALHISTAS]]</f>
        <v>0</v>
      </c>
      <c r="K35" s="167"/>
      <c r="L35" s="167"/>
      <c r="M35" s="155">
        <f>Pessoal_Dados[[#This Row],[GASTO COM MOB]]+Pessoal_Dados[[#This Row],[CUSTOS COM INSUMOS]]+Pessoal_Dados[[#This Row],[OUTROS INSUMOS]]</f>
        <v>0</v>
      </c>
      <c r="N35" s="155">
        <f>Pessoal_Dados[[#This Row],[GASTO INDVIDUAL TOTAL]]*Pessoal_Dados[[#This Row],[QUANT]]</f>
        <v>0</v>
      </c>
      <c r="O35" s="155">
        <f>Pessoal_Valores[[#This Row],[VALOR MÊS]]*12</f>
        <v>0</v>
      </c>
    </row>
    <row r="36" spans="1:15" ht="12.6" customHeight="1" x14ac:dyDescent="0.25">
      <c r="A36" s="21"/>
      <c r="C36" s="144">
        <f>SUBTOTAL(109,Pessoal_Dados[QUANT])</f>
        <v>187</v>
      </c>
      <c r="D36" s="14"/>
      <c r="E36" s="14"/>
      <c r="F36" s="14"/>
      <c r="G36" s="14"/>
      <c r="H36" s="145"/>
      <c r="I36" s="145"/>
      <c r="J36" s="145"/>
      <c r="K36" s="145"/>
      <c r="L36" s="145"/>
      <c r="M36" s="145"/>
      <c r="N36" s="14">
        <f>SUBTOTAL(109,N4:N35)</f>
        <v>0</v>
      </c>
      <c r="O36" s="14">
        <f>SUBTOTAL(109,O4:O35)</f>
        <v>0</v>
      </c>
    </row>
  </sheetData>
  <sheetProtection algorithmName="SHA-512" hashValue="SA6dmJOvEl2zDQXfEoGKNvMv2DuczqK8DitxZMz68cRyR30GLfXZd/cIEXm0Ka9lICltFGLDnNowlJZRMaKBaA==" saltValue="rbN6cFGD4gLjA3eyKFn1Lg==" spinCount="100000" sheet="1" objects="1" scenarios="1" selectLockedCells="1"/>
  <mergeCells count="1">
    <mergeCell ref="A1:O2"/>
  </mergeCells>
  <pageMargins left="0.70866141732283472" right="0.70866141732283472" top="1.3385826771653544" bottom="0.74803149606299213" header="0.31496062992125984" footer="0.31496062992125984"/>
  <pageSetup paperSize="8" scale="7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8"/>
  <sheetViews>
    <sheetView showGridLines="0" zoomScale="110" zoomScaleNormal="110" workbookViewId="0">
      <selection activeCell="A3" sqref="A3"/>
    </sheetView>
  </sheetViews>
  <sheetFormatPr defaultColWidth="8.85546875" defaultRowHeight="11.25" x14ac:dyDescent="0.25"/>
  <cols>
    <col min="1" max="1" width="6.7109375" style="22" customWidth="1"/>
    <col min="2" max="2" width="47.42578125" style="22" customWidth="1"/>
    <col min="3" max="3" width="12.7109375" style="22" customWidth="1"/>
    <col min="4" max="5" width="13.7109375" style="22" customWidth="1"/>
    <col min="6" max="6" width="14.85546875" style="22" customWidth="1"/>
    <col min="7" max="7" width="15.85546875" style="22" customWidth="1"/>
    <col min="8" max="8" width="14.85546875" style="22" customWidth="1"/>
    <col min="9" max="9" width="15" style="5" customWidth="1"/>
    <col min="10" max="10" width="13.85546875" style="22" customWidth="1"/>
    <col min="11" max="11" width="13.7109375" style="22" customWidth="1"/>
    <col min="12" max="12" width="11.5703125" style="22" customWidth="1"/>
    <col min="13" max="13" width="13.85546875" style="22" customWidth="1"/>
    <col min="14" max="14" width="11.7109375" style="22" customWidth="1"/>
    <col min="15" max="15" width="13.7109375" style="22" customWidth="1"/>
    <col min="16" max="20" width="12.42578125" style="22" customWidth="1"/>
    <col min="21" max="16384" width="8.85546875" style="22"/>
  </cols>
  <sheetData>
    <row r="1" spans="1:20" ht="11.25" customHeight="1" x14ac:dyDescent="0.25">
      <c r="A1" s="287" t="s">
        <v>1585</v>
      </c>
      <c r="B1" s="287"/>
      <c r="C1" s="287"/>
      <c r="D1" s="287"/>
      <c r="E1" s="287"/>
      <c r="F1" s="287"/>
      <c r="G1" s="287"/>
      <c r="H1" s="287"/>
      <c r="I1" s="287"/>
      <c r="J1" s="287"/>
      <c r="K1" s="287"/>
      <c r="L1" s="287"/>
      <c r="M1" s="287"/>
      <c r="N1" s="287"/>
      <c r="O1" s="287"/>
    </row>
    <row r="2" spans="1:20" ht="11.25" customHeight="1" x14ac:dyDescent="0.25">
      <c r="A2" s="284"/>
      <c r="B2" s="284"/>
      <c r="C2" s="284"/>
      <c r="D2" s="284"/>
      <c r="E2" s="284"/>
      <c r="F2" s="284"/>
      <c r="G2" s="284"/>
      <c r="H2" s="284"/>
      <c r="I2" s="284"/>
      <c r="J2" s="284"/>
      <c r="K2" s="284"/>
      <c r="L2" s="284"/>
      <c r="M2" s="284"/>
      <c r="N2" s="284"/>
      <c r="O2" s="284"/>
    </row>
    <row r="3" spans="1:20" ht="35.25" customHeight="1" x14ac:dyDescent="0.25">
      <c r="A3" s="179" t="s">
        <v>1119</v>
      </c>
      <c r="B3" s="180" t="s">
        <v>1081</v>
      </c>
      <c r="C3" s="180" t="s">
        <v>1132</v>
      </c>
      <c r="D3" s="181" t="s">
        <v>1082</v>
      </c>
      <c r="E3" s="180" t="s">
        <v>1083</v>
      </c>
      <c r="F3" s="181" t="s">
        <v>1563</v>
      </c>
      <c r="G3" s="181" t="s">
        <v>1084</v>
      </c>
      <c r="H3" s="128" t="s">
        <v>1085</v>
      </c>
      <c r="I3" s="180" t="s">
        <v>1086</v>
      </c>
      <c r="J3" s="128" t="s">
        <v>1116</v>
      </c>
      <c r="K3" s="181" t="s">
        <v>1087</v>
      </c>
      <c r="L3" s="181" t="s">
        <v>1088</v>
      </c>
      <c r="M3" s="157" t="s">
        <v>1089</v>
      </c>
      <c r="N3" s="142" t="s">
        <v>1321</v>
      </c>
      <c r="O3" s="142" t="s">
        <v>1322</v>
      </c>
      <c r="P3" s="21"/>
      <c r="Q3" s="21"/>
      <c r="R3" s="21"/>
      <c r="S3" s="21"/>
      <c r="T3" s="21"/>
    </row>
    <row r="4" spans="1:20" ht="12.6" customHeight="1" x14ac:dyDescent="0.25">
      <c r="A4" s="210">
        <v>1</v>
      </c>
      <c r="B4" s="211"/>
      <c r="C4" s="211"/>
      <c r="D4" s="212"/>
      <c r="E4" s="212"/>
      <c r="F4" s="212"/>
      <c r="G4" s="212"/>
      <c r="H4" s="208">
        <f>G4+F4+E4+D4</f>
        <v>0</v>
      </c>
      <c r="I4" s="212"/>
      <c r="J4" s="208">
        <f>H4+I4</f>
        <v>0</v>
      </c>
      <c r="K4" s="212"/>
      <c r="L4" s="212"/>
      <c r="M4" s="208">
        <f>J4+K4+L4</f>
        <v>0</v>
      </c>
      <c r="N4" s="213">
        <f>M4*C4</f>
        <v>0</v>
      </c>
      <c r="O4" s="208">
        <f>N4*12</f>
        <v>0</v>
      </c>
      <c r="P4" s="13"/>
      <c r="Q4" s="13"/>
      <c r="R4" s="13"/>
      <c r="S4" s="13"/>
      <c r="T4" s="13"/>
    </row>
    <row r="5" spans="1:20" ht="12.6" customHeight="1" x14ac:dyDescent="0.25">
      <c r="A5" s="168">
        <v>2</v>
      </c>
      <c r="B5" s="169"/>
      <c r="C5" s="169"/>
      <c r="D5" s="167"/>
      <c r="E5" s="167"/>
      <c r="F5" s="167"/>
      <c r="G5" s="167"/>
      <c r="H5" s="155">
        <f t="shared" ref="H5:H18" si="0">G5+F5+E5+D5</f>
        <v>0</v>
      </c>
      <c r="I5" s="167"/>
      <c r="J5" s="155">
        <f t="shared" ref="J5:J18" si="1">H5+I5</f>
        <v>0</v>
      </c>
      <c r="K5" s="167"/>
      <c r="L5" s="167"/>
      <c r="M5" s="155">
        <f t="shared" ref="M5:M18" si="2">J5+K5+L5</f>
        <v>0</v>
      </c>
      <c r="N5" s="156">
        <f t="shared" ref="N5:N18" si="3">M5*C5</f>
        <v>0</v>
      </c>
      <c r="O5" s="155">
        <f t="shared" ref="O5:O18" si="4">N5*12</f>
        <v>0</v>
      </c>
      <c r="P5" s="13"/>
      <c r="Q5" s="13"/>
      <c r="R5" s="13"/>
      <c r="S5" s="13"/>
      <c r="T5" s="13"/>
    </row>
    <row r="6" spans="1:20" ht="12.6" customHeight="1" x14ac:dyDescent="0.25">
      <c r="A6" s="214">
        <v>3</v>
      </c>
      <c r="B6" s="215"/>
      <c r="C6" s="215"/>
      <c r="D6" s="216"/>
      <c r="E6" s="216"/>
      <c r="F6" s="216"/>
      <c r="G6" s="216"/>
      <c r="H6" s="209">
        <f t="shared" si="0"/>
        <v>0</v>
      </c>
      <c r="I6" s="216"/>
      <c r="J6" s="209">
        <f t="shared" si="1"/>
        <v>0</v>
      </c>
      <c r="K6" s="216"/>
      <c r="L6" s="216"/>
      <c r="M6" s="209">
        <f t="shared" si="2"/>
        <v>0</v>
      </c>
      <c r="N6" s="217">
        <f t="shared" si="3"/>
        <v>0</v>
      </c>
      <c r="O6" s="209">
        <f t="shared" si="4"/>
        <v>0</v>
      </c>
      <c r="P6" s="13"/>
      <c r="Q6" s="13"/>
      <c r="R6" s="13"/>
      <c r="S6" s="13"/>
      <c r="T6" s="13"/>
    </row>
    <row r="7" spans="1:20" ht="12.6" customHeight="1" x14ac:dyDescent="0.25">
      <c r="A7" s="168">
        <v>4</v>
      </c>
      <c r="B7" s="169"/>
      <c r="C7" s="169"/>
      <c r="D7" s="167"/>
      <c r="E7" s="167"/>
      <c r="F7" s="167"/>
      <c r="G7" s="167"/>
      <c r="H7" s="155">
        <f t="shared" si="0"/>
        <v>0</v>
      </c>
      <c r="I7" s="167"/>
      <c r="J7" s="155">
        <f t="shared" si="1"/>
        <v>0</v>
      </c>
      <c r="K7" s="167"/>
      <c r="L7" s="167"/>
      <c r="M7" s="155">
        <f t="shared" si="2"/>
        <v>0</v>
      </c>
      <c r="N7" s="156">
        <f t="shared" si="3"/>
        <v>0</v>
      </c>
      <c r="O7" s="155">
        <f t="shared" si="4"/>
        <v>0</v>
      </c>
      <c r="P7" s="13"/>
      <c r="Q7" s="13"/>
      <c r="R7" s="13"/>
      <c r="S7" s="13"/>
      <c r="T7" s="13"/>
    </row>
    <row r="8" spans="1:20" ht="12.6" customHeight="1" x14ac:dyDescent="0.25">
      <c r="A8" s="214">
        <v>5</v>
      </c>
      <c r="B8" s="215"/>
      <c r="C8" s="215"/>
      <c r="D8" s="216"/>
      <c r="E8" s="216"/>
      <c r="F8" s="216"/>
      <c r="G8" s="216"/>
      <c r="H8" s="209">
        <f t="shared" si="0"/>
        <v>0</v>
      </c>
      <c r="I8" s="216"/>
      <c r="J8" s="209">
        <f t="shared" si="1"/>
        <v>0</v>
      </c>
      <c r="K8" s="216"/>
      <c r="L8" s="216"/>
      <c r="M8" s="209">
        <f t="shared" si="2"/>
        <v>0</v>
      </c>
      <c r="N8" s="217">
        <f t="shared" si="3"/>
        <v>0</v>
      </c>
      <c r="O8" s="209">
        <f t="shared" si="4"/>
        <v>0</v>
      </c>
      <c r="P8" s="13"/>
      <c r="Q8" s="13"/>
      <c r="R8" s="13"/>
      <c r="S8" s="13"/>
      <c r="T8" s="13"/>
    </row>
    <row r="9" spans="1:20" ht="12.6" customHeight="1" x14ac:dyDescent="0.25">
      <c r="A9" s="168">
        <v>6</v>
      </c>
      <c r="B9" s="169"/>
      <c r="C9" s="169"/>
      <c r="D9" s="167"/>
      <c r="E9" s="167"/>
      <c r="F9" s="167"/>
      <c r="G9" s="167"/>
      <c r="H9" s="155">
        <f t="shared" si="0"/>
        <v>0</v>
      </c>
      <c r="I9" s="167"/>
      <c r="J9" s="155">
        <f t="shared" si="1"/>
        <v>0</v>
      </c>
      <c r="K9" s="167"/>
      <c r="L9" s="167"/>
      <c r="M9" s="155">
        <f t="shared" si="2"/>
        <v>0</v>
      </c>
      <c r="N9" s="156">
        <f t="shared" si="3"/>
        <v>0</v>
      </c>
      <c r="O9" s="155">
        <f t="shared" si="4"/>
        <v>0</v>
      </c>
      <c r="P9" s="13"/>
      <c r="Q9" s="13"/>
      <c r="R9" s="13"/>
      <c r="S9" s="13"/>
      <c r="T9" s="13"/>
    </row>
    <row r="10" spans="1:20" ht="12.6" customHeight="1" x14ac:dyDescent="0.25">
      <c r="A10" s="214">
        <v>7</v>
      </c>
      <c r="B10" s="215"/>
      <c r="C10" s="215"/>
      <c r="D10" s="216"/>
      <c r="E10" s="216"/>
      <c r="F10" s="216"/>
      <c r="G10" s="216"/>
      <c r="H10" s="209">
        <f t="shared" si="0"/>
        <v>0</v>
      </c>
      <c r="I10" s="216"/>
      <c r="J10" s="209">
        <f t="shared" si="1"/>
        <v>0</v>
      </c>
      <c r="K10" s="216"/>
      <c r="L10" s="216"/>
      <c r="M10" s="209">
        <f t="shared" si="2"/>
        <v>0</v>
      </c>
      <c r="N10" s="217">
        <f t="shared" si="3"/>
        <v>0</v>
      </c>
      <c r="O10" s="209">
        <f t="shared" si="4"/>
        <v>0</v>
      </c>
      <c r="P10" s="13"/>
      <c r="Q10" s="13"/>
      <c r="R10" s="13"/>
      <c r="S10" s="13"/>
      <c r="T10" s="13"/>
    </row>
    <row r="11" spans="1:20" ht="12.6" customHeight="1" x14ac:dyDescent="0.25">
      <c r="A11" s="168">
        <v>8</v>
      </c>
      <c r="B11" s="169"/>
      <c r="C11" s="169"/>
      <c r="D11" s="167"/>
      <c r="E11" s="167"/>
      <c r="F11" s="167"/>
      <c r="G11" s="167"/>
      <c r="H11" s="155">
        <f t="shared" si="0"/>
        <v>0</v>
      </c>
      <c r="I11" s="167"/>
      <c r="J11" s="155">
        <f t="shared" si="1"/>
        <v>0</v>
      </c>
      <c r="K11" s="167"/>
      <c r="L11" s="167"/>
      <c r="M11" s="155">
        <f t="shared" si="2"/>
        <v>0</v>
      </c>
      <c r="N11" s="156">
        <f t="shared" si="3"/>
        <v>0</v>
      </c>
      <c r="O11" s="155">
        <f t="shared" si="4"/>
        <v>0</v>
      </c>
      <c r="P11" s="13"/>
      <c r="Q11" s="13"/>
      <c r="R11" s="13"/>
      <c r="S11" s="13"/>
      <c r="T11" s="13"/>
    </row>
    <row r="12" spans="1:20" ht="12.6" customHeight="1" x14ac:dyDescent="0.25">
      <c r="A12" s="214">
        <v>9</v>
      </c>
      <c r="B12" s="215"/>
      <c r="C12" s="215"/>
      <c r="D12" s="216"/>
      <c r="E12" s="216"/>
      <c r="F12" s="216"/>
      <c r="G12" s="216"/>
      <c r="H12" s="209">
        <f t="shared" si="0"/>
        <v>0</v>
      </c>
      <c r="I12" s="216"/>
      <c r="J12" s="209">
        <f t="shared" si="1"/>
        <v>0</v>
      </c>
      <c r="K12" s="216"/>
      <c r="L12" s="216"/>
      <c r="M12" s="209">
        <f t="shared" si="2"/>
        <v>0</v>
      </c>
      <c r="N12" s="217">
        <f t="shared" si="3"/>
        <v>0</v>
      </c>
      <c r="O12" s="209">
        <f t="shared" si="4"/>
        <v>0</v>
      </c>
      <c r="P12" s="13"/>
      <c r="Q12" s="13"/>
      <c r="R12" s="13"/>
      <c r="S12" s="13"/>
      <c r="T12" s="13"/>
    </row>
    <row r="13" spans="1:20" ht="12.6" customHeight="1" x14ac:dyDescent="0.25">
      <c r="A13" s="168">
        <v>10</v>
      </c>
      <c r="B13" s="169"/>
      <c r="C13" s="169"/>
      <c r="D13" s="167"/>
      <c r="E13" s="167"/>
      <c r="F13" s="167"/>
      <c r="G13" s="167"/>
      <c r="H13" s="155">
        <f t="shared" si="0"/>
        <v>0</v>
      </c>
      <c r="I13" s="167"/>
      <c r="J13" s="155">
        <f t="shared" si="1"/>
        <v>0</v>
      </c>
      <c r="K13" s="167"/>
      <c r="L13" s="167"/>
      <c r="M13" s="155">
        <f t="shared" si="2"/>
        <v>0</v>
      </c>
      <c r="N13" s="156">
        <f t="shared" si="3"/>
        <v>0</v>
      </c>
      <c r="O13" s="155">
        <f t="shared" si="4"/>
        <v>0</v>
      </c>
      <c r="P13" s="13"/>
      <c r="Q13" s="13"/>
      <c r="R13" s="13"/>
      <c r="S13" s="13"/>
      <c r="T13" s="13"/>
    </row>
    <row r="14" spans="1:20" ht="12.6" customHeight="1" x14ac:dyDescent="0.25">
      <c r="A14" s="214">
        <v>11</v>
      </c>
      <c r="B14" s="215"/>
      <c r="C14" s="215"/>
      <c r="D14" s="216"/>
      <c r="E14" s="216"/>
      <c r="F14" s="216"/>
      <c r="G14" s="216"/>
      <c r="H14" s="209">
        <f t="shared" si="0"/>
        <v>0</v>
      </c>
      <c r="I14" s="216"/>
      <c r="J14" s="209">
        <f t="shared" si="1"/>
        <v>0</v>
      </c>
      <c r="K14" s="216"/>
      <c r="L14" s="216"/>
      <c r="M14" s="209">
        <f t="shared" si="2"/>
        <v>0</v>
      </c>
      <c r="N14" s="217">
        <f t="shared" si="3"/>
        <v>0</v>
      </c>
      <c r="O14" s="209">
        <f t="shared" si="4"/>
        <v>0</v>
      </c>
      <c r="P14" s="13"/>
      <c r="Q14" s="13"/>
      <c r="R14" s="13"/>
      <c r="S14" s="13"/>
      <c r="T14" s="13"/>
    </row>
    <row r="15" spans="1:20" ht="12.6" customHeight="1" x14ac:dyDescent="0.25">
      <c r="A15" s="168">
        <v>12</v>
      </c>
      <c r="B15" s="169"/>
      <c r="C15" s="169"/>
      <c r="D15" s="167"/>
      <c r="E15" s="167"/>
      <c r="F15" s="167"/>
      <c r="G15" s="167"/>
      <c r="H15" s="155">
        <f t="shared" si="0"/>
        <v>0</v>
      </c>
      <c r="I15" s="167"/>
      <c r="J15" s="155">
        <f t="shared" si="1"/>
        <v>0</v>
      </c>
      <c r="K15" s="167"/>
      <c r="L15" s="167"/>
      <c r="M15" s="155">
        <f t="shared" si="2"/>
        <v>0</v>
      </c>
      <c r="N15" s="156">
        <f t="shared" si="3"/>
        <v>0</v>
      </c>
      <c r="O15" s="155">
        <f t="shared" si="4"/>
        <v>0</v>
      </c>
      <c r="P15" s="13"/>
      <c r="Q15" s="13"/>
      <c r="R15" s="13"/>
      <c r="S15" s="13"/>
      <c r="T15" s="13"/>
    </row>
    <row r="16" spans="1:20" ht="12.6" customHeight="1" x14ac:dyDescent="0.25">
      <c r="A16" s="214">
        <v>13</v>
      </c>
      <c r="B16" s="215"/>
      <c r="C16" s="215"/>
      <c r="D16" s="216"/>
      <c r="E16" s="216"/>
      <c r="F16" s="216"/>
      <c r="G16" s="216"/>
      <c r="H16" s="209">
        <f t="shared" si="0"/>
        <v>0</v>
      </c>
      <c r="I16" s="216"/>
      <c r="J16" s="209">
        <f t="shared" si="1"/>
        <v>0</v>
      </c>
      <c r="K16" s="216"/>
      <c r="L16" s="216"/>
      <c r="M16" s="209">
        <f t="shared" si="2"/>
        <v>0</v>
      </c>
      <c r="N16" s="217">
        <f t="shared" si="3"/>
        <v>0</v>
      </c>
      <c r="O16" s="209">
        <f t="shared" si="4"/>
        <v>0</v>
      </c>
      <c r="P16" s="13"/>
      <c r="Q16" s="13"/>
      <c r="R16" s="13"/>
      <c r="S16" s="13"/>
      <c r="T16" s="13"/>
    </row>
    <row r="17" spans="1:20" ht="12.6" customHeight="1" x14ac:dyDescent="0.25">
      <c r="A17" s="168">
        <v>14</v>
      </c>
      <c r="B17" s="169"/>
      <c r="C17" s="169"/>
      <c r="D17" s="167"/>
      <c r="E17" s="167"/>
      <c r="F17" s="167"/>
      <c r="G17" s="167"/>
      <c r="H17" s="155">
        <f t="shared" si="0"/>
        <v>0</v>
      </c>
      <c r="I17" s="167"/>
      <c r="J17" s="155">
        <f t="shared" si="1"/>
        <v>0</v>
      </c>
      <c r="K17" s="167"/>
      <c r="L17" s="167"/>
      <c r="M17" s="155">
        <f t="shared" si="2"/>
        <v>0</v>
      </c>
      <c r="N17" s="156">
        <f t="shared" si="3"/>
        <v>0</v>
      </c>
      <c r="O17" s="155">
        <f t="shared" si="4"/>
        <v>0</v>
      </c>
      <c r="P17" s="13"/>
      <c r="Q17" s="13"/>
      <c r="R17" s="13"/>
      <c r="S17" s="13"/>
      <c r="T17" s="13"/>
    </row>
    <row r="18" spans="1:20" ht="12.6" customHeight="1" x14ac:dyDescent="0.25">
      <c r="A18" s="218">
        <v>15</v>
      </c>
      <c r="B18" s="219"/>
      <c r="C18" s="219"/>
      <c r="D18" s="220"/>
      <c r="E18" s="220"/>
      <c r="F18" s="220"/>
      <c r="G18" s="220"/>
      <c r="H18" s="221">
        <f t="shared" si="0"/>
        <v>0</v>
      </c>
      <c r="I18" s="220"/>
      <c r="J18" s="221">
        <f t="shared" si="1"/>
        <v>0</v>
      </c>
      <c r="K18" s="220"/>
      <c r="L18" s="220"/>
      <c r="M18" s="221">
        <f t="shared" si="2"/>
        <v>0</v>
      </c>
      <c r="N18" s="222">
        <f t="shared" si="3"/>
        <v>0</v>
      </c>
      <c r="O18" s="221">
        <f t="shared" si="4"/>
        <v>0</v>
      </c>
      <c r="P18" s="13"/>
      <c r="Q18" s="13"/>
      <c r="R18" s="13"/>
      <c r="S18" s="13"/>
      <c r="T18" s="13"/>
    </row>
    <row r="19" spans="1:20" ht="12.6" customHeight="1" x14ac:dyDescent="0.25">
      <c r="A19" s="143"/>
      <c r="B19" s="146"/>
      <c r="C19" s="147">
        <f>SUM(C4:C18)</f>
        <v>0</v>
      </c>
      <c r="D19" s="148"/>
      <c r="E19" s="148"/>
      <c r="F19" s="148"/>
      <c r="G19" s="148"/>
      <c r="H19" s="148"/>
      <c r="I19" s="148"/>
      <c r="J19" s="148"/>
      <c r="K19" s="148"/>
      <c r="L19" s="148"/>
      <c r="M19" s="148"/>
      <c r="N19" s="149">
        <f>SUM(N4:N18)</f>
        <v>0</v>
      </c>
      <c r="O19" s="148">
        <f>SUM(O4:O18)</f>
        <v>0</v>
      </c>
      <c r="P19" s="13"/>
      <c r="Q19" s="13"/>
      <c r="R19" s="13"/>
      <c r="S19" s="13"/>
      <c r="T19" s="13"/>
    </row>
    <row r="20" spans="1:20" ht="11.25" customHeight="1" x14ac:dyDescent="0.25">
      <c r="A20" s="283" t="s">
        <v>1565</v>
      </c>
      <c r="B20" s="283"/>
      <c r="C20" s="283"/>
      <c r="D20" s="283"/>
      <c r="E20" s="158"/>
      <c r="F20" s="158"/>
      <c r="G20" s="158"/>
      <c r="H20" s="158"/>
      <c r="I20" s="158"/>
      <c r="J20" s="158"/>
      <c r="K20" s="158"/>
      <c r="L20" s="158"/>
      <c r="M20" s="158"/>
      <c r="O20" s="13"/>
      <c r="P20" s="13"/>
      <c r="Q20" s="13"/>
      <c r="R20" s="13"/>
      <c r="S20" s="13"/>
      <c r="T20" s="13"/>
    </row>
    <row r="21" spans="1:20" ht="11.25" customHeight="1" x14ac:dyDescent="0.25">
      <c r="A21" s="284"/>
      <c r="B21" s="284"/>
      <c r="C21" s="284"/>
      <c r="D21" s="284"/>
      <c r="E21" s="158"/>
      <c r="F21" s="158"/>
      <c r="G21" s="158"/>
      <c r="H21" s="158"/>
      <c r="I21" s="158"/>
      <c r="J21" s="158"/>
      <c r="K21" s="158"/>
      <c r="L21" s="158"/>
      <c r="M21" s="158"/>
      <c r="O21" s="13"/>
      <c r="P21" s="13"/>
      <c r="Q21" s="13"/>
      <c r="R21" s="13"/>
      <c r="S21" s="13"/>
      <c r="T21" s="13"/>
    </row>
    <row r="22" spans="1:20" ht="31.5" customHeight="1" x14ac:dyDescent="0.25">
      <c r="A22" s="190" t="s">
        <v>1119</v>
      </c>
      <c r="B22" s="191" t="s">
        <v>1584</v>
      </c>
      <c r="C22" s="180" t="s">
        <v>1321</v>
      </c>
      <c r="D22" s="129" t="s">
        <v>1322</v>
      </c>
      <c r="E22" s="13"/>
      <c r="F22" s="13"/>
      <c r="G22" s="13"/>
      <c r="H22" s="13"/>
      <c r="I22" s="13"/>
      <c r="J22" s="13"/>
      <c r="K22" s="13"/>
      <c r="L22" s="13"/>
      <c r="M22" s="13"/>
      <c r="O22" s="13"/>
      <c r="P22" s="13"/>
      <c r="Q22" s="13"/>
      <c r="R22" s="13"/>
      <c r="S22" s="13"/>
      <c r="T22" s="13"/>
    </row>
    <row r="23" spans="1:20" ht="12.6" customHeight="1" x14ac:dyDescent="0.25">
      <c r="A23" s="223">
        <v>1</v>
      </c>
      <c r="B23" s="224" t="s">
        <v>1580</v>
      </c>
      <c r="C23" s="225"/>
      <c r="D23" s="226">
        <f t="shared" ref="D23:D43" si="5">C23*12</f>
        <v>0</v>
      </c>
      <c r="E23" s="13"/>
      <c r="F23" s="13"/>
      <c r="G23" s="13"/>
      <c r="H23" s="13"/>
      <c r="I23" s="13"/>
      <c r="J23" s="13"/>
      <c r="K23" s="13"/>
      <c r="L23" s="13"/>
      <c r="M23" s="13"/>
      <c r="O23" s="13"/>
      <c r="P23" s="13"/>
      <c r="Q23" s="13"/>
      <c r="R23" s="13"/>
      <c r="S23" s="13"/>
      <c r="T23" s="13"/>
    </row>
    <row r="24" spans="1:20" ht="12.6" customHeight="1" x14ac:dyDescent="0.25">
      <c r="A24" s="192">
        <v>2</v>
      </c>
      <c r="B24" s="193" t="s">
        <v>1581</v>
      </c>
      <c r="C24" s="167"/>
      <c r="D24" s="194">
        <f t="shared" si="5"/>
        <v>0</v>
      </c>
      <c r="E24" s="13"/>
      <c r="F24" s="13"/>
      <c r="G24" s="13"/>
      <c r="H24" s="13"/>
      <c r="I24" s="13"/>
      <c r="J24" s="13"/>
      <c r="K24" s="13"/>
      <c r="L24" s="13"/>
      <c r="M24" s="13"/>
      <c r="O24" s="13"/>
      <c r="P24" s="13"/>
      <c r="Q24" s="13"/>
      <c r="R24" s="13"/>
      <c r="S24" s="13"/>
      <c r="T24" s="13"/>
    </row>
    <row r="25" spans="1:20" ht="12.6" customHeight="1" x14ac:dyDescent="0.25">
      <c r="A25" s="227">
        <v>3</v>
      </c>
      <c r="B25" s="228" t="s">
        <v>1582</v>
      </c>
      <c r="C25" s="216"/>
      <c r="D25" s="229">
        <f t="shared" si="5"/>
        <v>0</v>
      </c>
      <c r="E25" s="13"/>
      <c r="F25" s="13"/>
      <c r="G25" s="13"/>
      <c r="H25" s="13"/>
      <c r="I25" s="13"/>
      <c r="J25" s="13"/>
      <c r="K25" s="13"/>
      <c r="L25" s="13"/>
      <c r="M25" s="13"/>
      <c r="O25" s="13"/>
      <c r="P25" s="13"/>
      <c r="Q25" s="13"/>
      <c r="R25" s="13"/>
      <c r="S25" s="13"/>
      <c r="T25" s="13"/>
    </row>
    <row r="26" spans="1:20" ht="12.6" customHeight="1" x14ac:dyDescent="0.25">
      <c r="A26" s="192">
        <v>4</v>
      </c>
      <c r="B26" s="193" t="s">
        <v>1583</v>
      </c>
      <c r="C26" s="167"/>
      <c r="D26" s="194">
        <f t="shared" si="5"/>
        <v>0</v>
      </c>
      <c r="E26" s="13"/>
      <c r="F26" s="13"/>
      <c r="G26" s="13"/>
      <c r="H26" s="13"/>
      <c r="I26" s="13"/>
      <c r="J26" s="13"/>
      <c r="K26" s="13"/>
      <c r="L26" s="13"/>
      <c r="M26" s="13"/>
      <c r="O26" s="13"/>
      <c r="P26" s="13"/>
      <c r="Q26" s="13"/>
      <c r="R26" s="13"/>
      <c r="S26" s="13"/>
      <c r="T26" s="13"/>
    </row>
    <row r="27" spans="1:20" ht="12.6" customHeight="1" x14ac:dyDescent="0.25">
      <c r="A27" s="227">
        <v>5</v>
      </c>
      <c r="B27" s="230" t="s">
        <v>1566</v>
      </c>
      <c r="C27" s="216"/>
      <c r="D27" s="229">
        <f t="shared" si="5"/>
        <v>0</v>
      </c>
      <c r="E27" s="13"/>
      <c r="F27" s="13"/>
      <c r="G27" s="13"/>
      <c r="H27" s="13"/>
      <c r="I27" s="13"/>
      <c r="J27" s="13"/>
      <c r="K27" s="13"/>
      <c r="L27" s="13"/>
      <c r="M27" s="13"/>
      <c r="O27" s="13"/>
      <c r="P27" s="13"/>
      <c r="Q27" s="13"/>
      <c r="R27" s="13"/>
      <c r="S27" s="13"/>
      <c r="T27" s="13"/>
    </row>
    <row r="28" spans="1:20" ht="12.6" customHeight="1" x14ac:dyDescent="0.25">
      <c r="A28" s="192">
        <v>6</v>
      </c>
      <c r="B28" s="159" t="s">
        <v>1567</v>
      </c>
      <c r="C28" s="167"/>
      <c r="D28" s="194">
        <f t="shared" si="5"/>
        <v>0</v>
      </c>
      <c r="E28" s="13"/>
      <c r="F28" s="13"/>
      <c r="G28" s="13"/>
      <c r="H28" s="13"/>
      <c r="I28" s="13"/>
      <c r="J28" s="13"/>
      <c r="K28" s="13"/>
      <c r="L28" s="13"/>
      <c r="M28" s="13"/>
      <c r="O28" s="13"/>
      <c r="P28" s="13"/>
      <c r="Q28" s="13"/>
      <c r="R28" s="13"/>
      <c r="S28" s="13"/>
      <c r="T28" s="13"/>
    </row>
    <row r="29" spans="1:20" ht="12.6" customHeight="1" x14ac:dyDescent="0.25">
      <c r="A29" s="227">
        <v>7</v>
      </c>
      <c r="B29" s="230" t="s">
        <v>1568</v>
      </c>
      <c r="C29" s="216"/>
      <c r="D29" s="229">
        <f t="shared" si="5"/>
        <v>0</v>
      </c>
      <c r="E29" s="13"/>
      <c r="F29" s="13"/>
      <c r="G29" s="13"/>
      <c r="H29" s="13"/>
      <c r="I29" s="13"/>
      <c r="J29" s="13"/>
      <c r="K29" s="13"/>
      <c r="L29" s="13"/>
      <c r="M29" s="13"/>
      <c r="O29" s="13"/>
      <c r="P29" s="13"/>
      <c r="Q29" s="13"/>
      <c r="R29" s="13"/>
      <c r="S29" s="13"/>
      <c r="T29" s="13"/>
    </row>
    <row r="30" spans="1:20" ht="12.6" customHeight="1" x14ac:dyDescent="0.25">
      <c r="A30" s="192">
        <v>8</v>
      </c>
      <c r="B30" s="159" t="s">
        <v>1569</v>
      </c>
      <c r="C30" s="167"/>
      <c r="D30" s="194">
        <f t="shared" si="5"/>
        <v>0</v>
      </c>
      <c r="E30" s="13"/>
      <c r="F30" s="13"/>
      <c r="G30" s="13"/>
      <c r="H30" s="13"/>
      <c r="I30" s="13"/>
      <c r="J30" s="13"/>
      <c r="K30" s="13"/>
      <c r="L30" s="13"/>
      <c r="M30" s="13"/>
      <c r="O30" s="13"/>
      <c r="P30" s="13"/>
      <c r="Q30" s="13"/>
      <c r="R30" s="13"/>
      <c r="S30" s="13"/>
      <c r="T30" s="13"/>
    </row>
    <row r="31" spans="1:20" ht="12.6" customHeight="1" x14ac:dyDescent="0.25">
      <c r="A31" s="227">
        <v>9</v>
      </c>
      <c r="B31" s="230" t="s">
        <v>1570</v>
      </c>
      <c r="C31" s="216"/>
      <c r="D31" s="229">
        <f t="shared" si="5"/>
        <v>0</v>
      </c>
      <c r="E31" s="13"/>
      <c r="F31" s="13"/>
      <c r="G31" s="13"/>
      <c r="H31" s="13"/>
      <c r="I31" s="13"/>
      <c r="J31" s="13"/>
      <c r="K31" s="13"/>
      <c r="L31" s="13"/>
      <c r="M31" s="13"/>
      <c r="O31" s="13"/>
      <c r="P31" s="13"/>
      <c r="Q31" s="13"/>
      <c r="R31" s="13"/>
      <c r="S31" s="13"/>
      <c r="T31" s="13"/>
    </row>
    <row r="32" spans="1:20" ht="12.6" customHeight="1" x14ac:dyDescent="0.25">
      <c r="A32" s="192">
        <v>10</v>
      </c>
      <c r="B32" s="160" t="s">
        <v>1571</v>
      </c>
      <c r="C32" s="167"/>
      <c r="D32" s="194">
        <f t="shared" si="5"/>
        <v>0</v>
      </c>
      <c r="E32" s="13"/>
      <c r="F32" s="13"/>
      <c r="G32" s="13"/>
      <c r="H32" s="13"/>
      <c r="I32" s="13"/>
      <c r="J32" s="13"/>
      <c r="K32" s="13"/>
      <c r="L32" s="13"/>
      <c r="M32" s="13"/>
      <c r="O32" s="13"/>
      <c r="P32" s="13"/>
      <c r="Q32" s="13"/>
      <c r="R32" s="13"/>
      <c r="S32" s="13"/>
      <c r="T32" s="13"/>
    </row>
    <row r="33" spans="1:20" ht="12.6" customHeight="1" x14ac:dyDescent="0.25">
      <c r="A33" s="227">
        <v>11</v>
      </c>
      <c r="B33" s="231" t="s">
        <v>1572</v>
      </c>
      <c r="C33" s="216"/>
      <c r="D33" s="229">
        <f t="shared" si="5"/>
        <v>0</v>
      </c>
      <c r="E33" s="13"/>
      <c r="F33" s="13"/>
      <c r="G33" s="13"/>
      <c r="H33" s="13"/>
      <c r="I33" s="13"/>
      <c r="J33" s="13"/>
      <c r="K33" s="13"/>
      <c r="L33" s="13"/>
      <c r="M33" s="13"/>
      <c r="O33" s="13"/>
      <c r="P33" s="13"/>
      <c r="Q33" s="13"/>
      <c r="R33" s="13"/>
      <c r="S33" s="13"/>
      <c r="T33" s="13"/>
    </row>
    <row r="34" spans="1:20" ht="12.6" customHeight="1" x14ac:dyDescent="0.25">
      <c r="A34" s="192">
        <v>12</v>
      </c>
      <c r="B34" s="159" t="s">
        <v>1573</v>
      </c>
      <c r="C34" s="167"/>
      <c r="D34" s="194">
        <f t="shared" si="5"/>
        <v>0</v>
      </c>
      <c r="E34" s="13"/>
      <c r="F34" s="13"/>
      <c r="G34" s="13"/>
      <c r="H34" s="13"/>
      <c r="I34" s="13"/>
      <c r="J34" s="13"/>
      <c r="K34" s="13"/>
      <c r="L34" s="13"/>
      <c r="M34" s="13"/>
      <c r="O34" s="13"/>
      <c r="P34" s="13"/>
      <c r="Q34" s="13"/>
      <c r="R34" s="13"/>
      <c r="S34" s="13"/>
      <c r="T34" s="13"/>
    </row>
    <row r="35" spans="1:20" ht="12.6" customHeight="1" x14ac:dyDescent="0.25">
      <c r="A35" s="227">
        <v>13</v>
      </c>
      <c r="B35" s="230" t="s">
        <v>1697</v>
      </c>
      <c r="C35" s="216"/>
      <c r="D35" s="229">
        <f t="shared" si="5"/>
        <v>0</v>
      </c>
      <c r="E35" s="13"/>
      <c r="F35" s="13"/>
      <c r="G35" s="13"/>
      <c r="H35" s="13"/>
      <c r="I35" s="13"/>
      <c r="J35" s="13"/>
      <c r="K35" s="13"/>
      <c r="L35" s="13"/>
      <c r="M35" s="13"/>
      <c r="O35" s="13"/>
      <c r="P35" s="13"/>
      <c r="Q35" s="13"/>
      <c r="R35" s="13"/>
      <c r="S35" s="13"/>
      <c r="T35" s="13"/>
    </row>
    <row r="36" spans="1:20" ht="12.6" customHeight="1" x14ac:dyDescent="0.25">
      <c r="A36" s="192">
        <v>14</v>
      </c>
      <c r="B36" s="159" t="s">
        <v>1574</v>
      </c>
      <c r="C36" s="167"/>
      <c r="D36" s="194">
        <f t="shared" si="5"/>
        <v>0</v>
      </c>
      <c r="E36" s="13"/>
      <c r="F36" s="13"/>
      <c r="G36" s="13"/>
      <c r="H36" s="13"/>
      <c r="I36" s="13"/>
      <c r="J36" s="13"/>
      <c r="K36" s="13"/>
      <c r="L36" s="13"/>
      <c r="M36" s="13"/>
      <c r="O36" s="13"/>
      <c r="P36" s="13"/>
      <c r="Q36" s="13"/>
      <c r="R36" s="13"/>
      <c r="S36" s="13"/>
      <c r="T36" s="13"/>
    </row>
    <row r="37" spans="1:20" ht="12.6" customHeight="1" x14ac:dyDescent="0.25">
      <c r="A37" s="227">
        <v>15</v>
      </c>
      <c r="B37" s="231" t="s">
        <v>1575</v>
      </c>
      <c r="C37" s="216"/>
      <c r="D37" s="229">
        <f t="shared" si="5"/>
        <v>0</v>
      </c>
      <c r="E37" s="13"/>
      <c r="F37" s="13"/>
      <c r="G37" s="13"/>
      <c r="H37" s="13"/>
      <c r="I37" s="13"/>
      <c r="J37" s="13"/>
      <c r="K37" s="13"/>
      <c r="L37" s="13"/>
      <c r="M37" s="13"/>
      <c r="O37" s="13"/>
      <c r="P37" s="13"/>
      <c r="Q37" s="13"/>
      <c r="R37" s="13"/>
      <c r="S37" s="13"/>
      <c r="T37" s="13"/>
    </row>
    <row r="38" spans="1:20" ht="12.6" customHeight="1" x14ac:dyDescent="0.25">
      <c r="A38" s="192">
        <v>16</v>
      </c>
      <c r="B38" s="159" t="s">
        <v>1698</v>
      </c>
      <c r="C38" s="167"/>
      <c r="D38" s="194">
        <f t="shared" si="5"/>
        <v>0</v>
      </c>
      <c r="E38" s="13"/>
      <c r="F38" s="13"/>
      <c r="G38" s="13"/>
      <c r="H38" s="13"/>
      <c r="I38" s="13"/>
      <c r="J38" s="13"/>
      <c r="K38" s="13"/>
      <c r="L38" s="13"/>
      <c r="M38" s="13"/>
      <c r="O38" s="13"/>
      <c r="P38" s="13"/>
      <c r="Q38" s="13"/>
      <c r="R38" s="13"/>
      <c r="S38" s="13"/>
      <c r="T38" s="13"/>
    </row>
    <row r="39" spans="1:20" ht="12.6" customHeight="1" x14ac:dyDescent="0.25">
      <c r="A39" s="227">
        <v>17</v>
      </c>
      <c r="B39" s="230" t="s">
        <v>1576</v>
      </c>
      <c r="C39" s="216"/>
      <c r="D39" s="229">
        <f t="shared" si="5"/>
        <v>0</v>
      </c>
      <c r="E39" s="13"/>
      <c r="F39" s="13"/>
      <c r="G39" s="13"/>
      <c r="H39" s="13"/>
      <c r="I39" s="13"/>
      <c r="J39" s="13"/>
      <c r="K39" s="13"/>
      <c r="L39" s="13"/>
      <c r="M39" s="13"/>
      <c r="O39" s="13"/>
      <c r="P39" s="13"/>
      <c r="Q39" s="13"/>
      <c r="R39" s="13"/>
      <c r="S39" s="13"/>
      <c r="T39" s="13"/>
    </row>
    <row r="40" spans="1:20" ht="12.6" customHeight="1" x14ac:dyDescent="0.25">
      <c r="A40" s="192">
        <v>18</v>
      </c>
      <c r="B40" s="159" t="s">
        <v>1577</v>
      </c>
      <c r="C40" s="167"/>
      <c r="D40" s="194">
        <f t="shared" si="5"/>
        <v>0</v>
      </c>
      <c r="E40" s="13"/>
      <c r="F40" s="13"/>
      <c r="G40" s="13"/>
      <c r="H40" s="13"/>
      <c r="I40" s="13"/>
      <c r="J40" s="13"/>
      <c r="K40" s="13"/>
      <c r="L40" s="13"/>
      <c r="M40" s="13"/>
      <c r="O40" s="13"/>
      <c r="P40" s="13"/>
      <c r="Q40" s="13"/>
      <c r="R40" s="13"/>
      <c r="S40" s="13"/>
      <c r="T40" s="13"/>
    </row>
    <row r="41" spans="1:20" ht="12.6" customHeight="1" x14ac:dyDescent="0.25">
      <c r="A41" s="227">
        <v>19</v>
      </c>
      <c r="B41" s="230" t="s">
        <v>1578</v>
      </c>
      <c r="C41" s="216"/>
      <c r="D41" s="229">
        <f t="shared" si="5"/>
        <v>0</v>
      </c>
      <c r="E41" s="13"/>
      <c r="F41" s="13"/>
      <c r="G41" s="13"/>
      <c r="H41" s="13"/>
      <c r="I41" s="13"/>
      <c r="J41" s="13"/>
      <c r="K41" s="13"/>
      <c r="L41" s="13"/>
      <c r="M41" s="13"/>
      <c r="O41" s="13"/>
      <c r="P41" s="13"/>
      <c r="Q41" s="13"/>
      <c r="R41" s="13"/>
      <c r="S41" s="13"/>
      <c r="T41" s="13"/>
    </row>
    <row r="42" spans="1:20" ht="12.6" customHeight="1" x14ac:dyDescent="0.25">
      <c r="A42" s="192">
        <v>20</v>
      </c>
      <c r="B42" s="195" t="s">
        <v>1699</v>
      </c>
      <c r="C42" s="196"/>
      <c r="D42" s="197">
        <f t="shared" si="5"/>
        <v>0</v>
      </c>
      <c r="E42" s="13"/>
      <c r="F42" s="13"/>
      <c r="G42" s="13"/>
      <c r="H42" s="13"/>
      <c r="I42" s="13"/>
      <c r="J42" s="13"/>
      <c r="K42" s="13"/>
      <c r="L42" s="13"/>
      <c r="M42" s="13"/>
      <c r="O42" s="13"/>
      <c r="P42" s="13"/>
      <c r="Q42" s="13"/>
      <c r="R42" s="13"/>
      <c r="S42" s="13"/>
      <c r="T42" s="13"/>
    </row>
    <row r="43" spans="1:20" ht="12.6" customHeight="1" x14ac:dyDescent="0.25">
      <c r="A43" s="232">
        <v>21</v>
      </c>
      <c r="B43" s="233" t="s">
        <v>1579</v>
      </c>
      <c r="C43" s="220"/>
      <c r="D43" s="234">
        <f t="shared" si="5"/>
        <v>0</v>
      </c>
      <c r="E43" s="13"/>
      <c r="F43" s="13"/>
      <c r="G43" s="13"/>
      <c r="H43" s="13"/>
      <c r="I43" s="13"/>
      <c r="J43" s="13"/>
      <c r="K43" s="13"/>
      <c r="L43" s="13"/>
      <c r="M43" s="13"/>
      <c r="O43" s="13"/>
      <c r="P43" s="13"/>
      <c r="Q43" s="13"/>
      <c r="R43" s="13"/>
      <c r="S43" s="13"/>
      <c r="T43" s="13"/>
    </row>
    <row r="44" spans="1:20" ht="12.6" customHeight="1" x14ac:dyDescent="0.25">
      <c r="A44" s="198"/>
      <c r="B44" s="199"/>
      <c r="C44" s="148">
        <f>SUM(C23:C43)</f>
        <v>0</v>
      </c>
      <c r="D44" s="200">
        <f>SUM(D23:D43)</f>
        <v>0</v>
      </c>
      <c r="E44" s="119"/>
      <c r="F44" s="119"/>
      <c r="G44" s="119"/>
      <c r="H44" s="120"/>
      <c r="I44" s="120"/>
      <c r="J44" s="120"/>
      <c r="K44" s="120"/>
      <c r="L44" s="120"/>
      <c r="M44" s="120"/>
      <c r="O44" s="119"/>
      <c r="P44" s="119"/>
      <c r="Q44" s="119"/>
      <c r="R44" s="119"/>
      <c r="S44" s="119"/>
      <c r="T44" s="119"/>
    </row>
    <row r="45" spans="1:20" x14ac:dyDescent="0.25">
      <c r="A45" s="201"/>
      <c r="B45" s="202"/>
      <c r="C45" s="203"/>
      <c r="D45" s="204"/>
      <c r="E45" s="119"/>
      <c r="F45" s="119"/>
      <c r="G45" s="119"/>
      <c r="H45" s="120"/>
      <c r="I45" s="120"/>
      <c r="J45" s="120"/>
      <c r="K45" s="120"/>
      <c r="L45" s="120"/>
      <c r="M45" s="120"/>
      <c r="O45" s="119"/>
      <c r="P45" s="119"/>
      <c r="Q45" s="119"/>
      <c r="R45" s="119"/>
      <c r="S45" s="119"/>
      <c r="T45" s="119"/>
    </row>
    <row r="46" spans="1:20" x14ac:dyDescent="0.25">
      <c r="A46" s="201"/>
      <c r="B46" s="205"/>
      <c r="C46" s="206"/>
      <c r="D46" s="207"/>
      <c r="E46" s="119"/>
      <c r="F46" s="119"/>
      <c r="G46" s="119"/>
      <c r="H46" s="120"/>
      <c r="I46" s="120"/>
      <c r="J46" s="120"/>
      <c r="K46" s="120"/>
      <c r="L46" s="120"/>
      <c r="M46" s="120"/>
      <c r="O46" s="119"/>
      <c r="P46" s="119"/>
      <c r="Q46" s="119"/>
      <c r="R46" s="119"/>
      <c r="S46" s="119"/>
      <c r="T46" s="119"/>
    </row>
    <row r="47" spans="1:20" x14ac:dyDescent="0.25">
      <c r="B47" s="285" t="s">
        <v>1604</v>
      </c>
      <c r="C47" s="128" t="s">
        <v>1321</v>
      </c>
      <c r="D47" s="129" t="s">
        <v>1322</v>
      </c>
    </row>
    <row r="48" spans="1:20" x14ac:dyDescent="0.25">
      <c r="B48" s="286"/>
      <c r="C48" s="149">
        <f>C44+N19</f>
        <v>0</v>
      </c>
      <c r="D48" s="149">
        <f>D44+O19</f>
        <v>0</v>
      </c>
    </row>
  </sheetData>
  <sheetProtection algorithmName="SHA-512" hashValue="EGai96mTqISIJwRtS7telgq77xjB8KCDzUxE98UKYVmpWXGStT92tq0gPCWYGs/9wC6FBkrsWNWdlU1QVZFB8Q==" saltValue="7aR87NN7kWhuCenRHLjd4w==" spinCount="100000" sheet="1" objects="1" scenarios="1" selectLockedCells="1"/>
  <mergeCells count="3">
    <mergeCell ref="A20:D21"/>
    <mergeCell ref="B47:B48"/>
    <mergeCell ref="A1:O2"/>
  </mergeCells>
  <pageMargins left="0.51181102362204722" right="0.51181102362204722" top="0.98425196850393704" bottom="0.78740157480314965" header="0.31496062992125984" footer="0.31496062992125984"/>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224"/>
  <sheetViews>
    <sheetView showGridLines="0" zoomScaleNormal="100" workbookViewId="0">
      <selection activeCell="H13" sqref="H13"/>
    </sheetView>
  </sheetViews>
  <sheetFormatPr defaultColWidth="8.85546875" defaultRowHeight="11.25" outlineLevelCol="1" x14ac:dyDescent="0.25"/>
  <cols>
    <col min="1" max="1" width="6.7109375" style="3" customWidth="1"/>
    <col min="2" max="3" width="17.42578125" style="10" customWidth="1"/>
    <col min="4" max="4" width="30.85546875" style="10" bestFit="1" customWidth="1" outlineLevel="1"/>
    <col min="5" max="5" width="18.140625" style="3" customWidth="1"/>
    <col min="6" max="6" width="15.28515625" style="10" customWidth="1"/>
    <col min="7" max="7" width="7.42578125" style="3" customWidth="1"/>
    <col min="8" max="8" width="14.7109375" style="134" customWidth="1"/>
    <col min="9" max="9" width="14.7109375" style="133" customWidth="1"/>
    <col min="10" max="10" width="14.7109375" style="3" customWidth="1"/>
    <col min="11" max="11" width="21.28515625" style="3" customWidth="1"/>
    <col min="12" max="12" width="20.42578125" style="3" customWidth="1"/>
    <col min="13" max="13" width="20" style="3" customWidth="1"/>
    <col min="14" max="14" width="21.85546875" style="3" customWidth="1"/>
    <col min="15" max="15" width="8.85546875" style="3"/>
    <col min="16" max="18" width="8.85546875" style="3" hidden="1" customWidth="1" outlineLevel="1"/>
    <col min="19" max="19" width="8.85546875" style="3" collapsed="1"/>
    <col min="20" max="16384" width="8.85546875" style="3"/>
  </cols>
  <sheetData>
    <row r="1" spans="1:18" ht="11.25" customHeight="1" x14ac:dyDescent="0.25">
      <c r="A1" s="289" t="s">
        <v>1073</v>
      </c>
      <c r="B1" s="289"/>
      <c r="C1" s="289"/>
      <c r="D1" s="289"/>
      <c r="E1" s="289"/>
      <c r="F1" s="289"/>
      <c r="G1" s="289"/>
      <c r="H1" s="289"/>
      <c r="I1" s="289"/>
      <c r="J1" s="289"/>
    </row>
    <row r="2" spans="1:18" ht="11.25" customHeight="1" x14ac:dyDescent="0.25">
      <c r="A2" s="289"/>
      <c r="B2" s="289"/>
      <c r="C2" s="289"/>
      <c r="D2" s="289"/>
      <c r="E2" s="289"/>
      <c r="F2" s="289"/>
      <c r="G2" s="289"/>
      <c r="H2" s="289"/>
      <c r="I2" s="289"/>
      <c r="J2" s="289"/>
    </row>
    <row r="3" spans="1:18" s="7" customFormat="1" ht="31.5" x14ac:dyDescent="0.25">
      <c r="A3" s="7" t="s">
        <v>1119</v>
      </c>
      <c r="B3" s="7" t="s">
        <v>0</v>
      </c>
      <c r="C3" s="7" t="s">
        <v>1</v>
      </c>
      <c r="D3" s="7" t="s">
        <v>540</v>
      </c>
      <c r="E3" s="7" t="s">
        <v>2</v>
      </c>
      <c r="F3" s="7" t="s">
        <v>3</v>
      </c>
      <c r="G3" s="7" t="s">
        <v>1132</v>
      </c>
      <c r="H3" s="182" t="s">
        <v>1385</v>
      </c>
      <c r="I3" s="132" t="s">
        <v>1592</v>
      </c>
      <c r="J3" s="7" t="s">
        <v>1322</v>
      </c>
      <c r="P3" s="7" t="s">
        <v>1122</v>
      </c>
      <c r="Q3" s="7" t="s">
        <v>1123</v>
      </c>
      <c r="R3" s="7" t="s">
        <v>1124</v>
      </c>
    </row>
    <row r="4" spans="1:18" s="8" customFormat="1" ht="22.5" customHeight="1" x14ac:dyDescent="0.25">
      <c r="A4" s="22" t="s">
        <v>4</v>
      </c>
      <c r="B4" s="21" t="s">
        <v>5</v>
      </c>
      <c r="C4" s="21" t="s">
        <v>6</v>
      </c>
      <c r="D4" s="21" t="s">
        <v>1220</v>
      </c>
      <c r="E4" s="22" t="s">
        <v>7</v>
      </c>
      <c r="F4" s="21" t="s">
        <v>8</v>
      </c>
      <c r="G4" s="22">
        <v>793</v>
      </c>
      <c r="H4" s="235"/>
      <c r="I4" s="236">
        <f>Medicam_Nun_e_Gomes[[#This Row],[VALOR UNID]]*Medicam_Dados[[#This Row],[QUANT]]</f>
        <v>0</v>
      </c>
      <c r="J4" s="236">
        <f>Medicam_Nun_e_Gomes[[#This Row],[VALOR MÊS ]]*12</f>
        <v>0</v>
      </c>
      <c r="M4" s="15"/>
      <c r="P4" s="15">
        <f>Medicam_Nun_e_Gomes[[#This Row],[VALOR UNID]]</f>
        <v>0</v>
      </c>
      <c r="Q4" s="15" t="e">
        <f>#REF!</f>
        <v>#REF!</v>
      </c>
      <c r="R4" s="15" t="e">
        <f>#REF!</f>
        <v>#REF!</v>
      </c>
    </row>
    <row r="5" spans="1:18" s="8" customFormat="1" ht="22.5" customHeight="1" x14ac:dyDescent="0.25">
      <c r="A5" s="22" t="s">
        <v>9</v>
      </c>
      <c r="B5" s="21" t="s">
        <v>5</v>
      </c>
      <c r="C5" s="21" t="s">
        <v>6</v>
      </c>
      <c r="D5" s="21" t="s">
        <v>1219</v>
      </c>
      <c r="E5" s="22" t="s">
        <v>10</v>
      </c>
      <c r="F5" s="21" t="s">
        <v>11</v>
      </c>
      <c r="G5" s="22">
        <v>264</v>
      </c>
      <c r="H5" s="170"/>
      <c r="I5" s="15">
        <f>Medicam_Nun_e_Gomes[[#This Row],[VALOR UNID]]*Medicam_Dados[[#This Row],[QUANT]]</f>
        <v>0</v>
      </c>
      <c r="J5" s="15">
        <f>Medicam_Nun_e_Gomes[[#This Row],[VALOR MÊS ]]*12</f>
        <v>0</v>
      </c>
      <c r="M5" s="15"/>
      <c r="P5" s="15">
        <f>Medicam_Nun_e_Gomes[[#This Row],[VALOR UNID]]</f>
        <v>0</v>
      </c>
      <c r="Q5" s="15" t="e">
        <f>#REF!</f>
        <v>#REF!</v>
      </c>
      <c r="R5" s="15" t="e">
        <f>#REF!</f>
        <v>#REF!</v>
      </c>
    </row>
    <row r="6" spans="1:18" s="8" customFormat="1" ht="22.5" customHeight="1" x14ac:dyDescent="0.25">
      <c r="A6" s="22" t="s">
        <v>12</v>
      </c>
      <c r="B6" s="21" t="s">
        <v>5</v>
      </c>
      <c r="C6" s="21" t="s">
        <v>13</v>
      </c>
      <c r="D6" s="21" t="s">
        <v>1221</v>
      </c>
      <c r="E6" s="22" t="s">
        <v>14</v>
      </c>
      <c r="F6" s="21" t="s">
        <v>8</v>
      </c>
      <c r="G6" s="22">
        <v>1850</v>
      </c>
      <c r="H6" s="235"/>
      <c r="I6" s="236">
        <f>Medicam_Nun_e_Gomes[[#This Row],[VALOR UNID]]*Medicam_Dados[[#This Row],[QUANT]]</f>
        <v>0</v>
      </c>
      <c r="J6" s="236">
        <f>Medicam_Nun_e_Gomes[[#This Row],[VALOR MÊS ]]*12</f>
        <v>0</v>
      </c>
      <c r="M6" s="15"/>
      <c r="P6" s="15">
        <f>Medicam_Nun_e_Gomes[[#This Row],[VALOR UNID]]</f>
        <v>0</v>
      </c>
      <c r="Q6" s="15" t="e">
        <f>#REF!</f>
        <v>#REF!</v>
      </c>
      <c r="R6" s="15" t="e">
        <f>#REF!</f>
        <v>#REF!</v>
      </c>
    </row>
    <row r="7" spans="1:18" s="8" customFormat="1" ht="22.5" customHeight="1" x14ac:dyDescent="0.25">
      <c r="A7" s="22" t="s">
        <v>15</v>
      </c>
      <c r="B7" s="21" t="s">
        <v>5</v>
      </c>
      <c r="C7" s="21" t="s">
        <v>16</v>
      </c>
      <c r="D7" s="21" t="s">
        <v>1222</v>
      </c>
      <c r="E7" s="22" t="s">
        <v>17</v>
      </c>
      <c r="F7" s="21" t="s">
        <v>8</v>
      </c>
      <c r="G7" s="22">
        <v>1046</v>
      </c>
      <c r="H7" s="170"/>
      <c r="I7" s="15">
        <f>Medicam_Nun_e_Gomes[[#This Row],[VALOR UNID]]*Medicam_Dados[[#This Row],[QUANT]]</f>
        <v>0</v>
      </c>
      <c r="J7" s="15">
        <f>Medicam_Nun_e_Gomes[[#This Row],[VALOR MÊS ]]*12</f>
        <v>0</v>
      </c>
      <c r="M7" s="15"/>
      <c r="P7" s="15">
        <f>Medicam_Nun_e_Gomes[[#This Row],[VALOR UNID]]</f>
        <v>0</v>
      </c>
      <c r="Q7" s="15" t="e">
        <f>#REF!</f>
        <v>#REF!</v>
      </c>
      <c r="R7" s="15" t="e">
        <f>#REF!</f>
        <v>#REF!</v>
      </c>
    </row>
    <row r="8" spans="1:18" s="8" customFormat="1" ht="22.5" customHeight="1" x14ac:dyDescent="0.25">
      <c r="A8" s="22" t="s">
        <v>18</v>
      </c>
      <c r="B8" s="21" t="s">
        <v>5</v>
      </c>
      <c r="C8" s="21" t="s">
        <v>1129</v>
      </c>
      <c r="D8" s="21"/>
      <c r="E8" s="22" t="s">
        <v>19</v>
      </c>
      <c r="F8" s="21" t="s">
        <v>20</v>
      </c>
      <c r="G8" s="22">
        <v>15</v>
      </c>
      <c r="H8" s="235"/>
      <c r="I8" s="236">
        <f>Medicam_Nun_e_Gomes[[#This Row],[VALOR UNID]]*Medicam_Dados[[#This Row],[QUANT]]</f>
        <v>0</v>
      </c>
      <c r="J8" s="236">
        <f>Medicam_Nun_e_Gomes[[#This Row],[VALOR MÊS ]]*12</f>
        <v>0</v>
      </c>
      <c r="M8" s="15"/>
      <c r="P8" s="15">
        <f>Medicam_Nun_e_Gomes[[#This Row],[VALOR UNID]]</f>
        <v>0</v>
      </c>
      <c r="Q8" s="15" t="e">
        <f>#REF!</f>
        <v>#REF!</v>
      </c>
      <c r="R8" s="15" t="e">
        <f>#REF!</f>
        <v>#REF!</v>
      </c>
    </row>
    <row r="9" spans="1:18" s="8" customFormat="1" ht="22.5" customHeight="1" x14ac:dyDescent="0.25">
      <c r="A9" s="22" t="s">
        <v>21</v>
      </c>
      <c r="B9" s="21" t="s">
        <v>5</v>
      </c>
      <c r="C9" s="21" t="s">
        <v>22</v>
      </c>
      <c r="D9" s="21" t="s">
        <v>1223</v>
      </c>
      <c r="E9" s="22" t="s">
        <v>23</v>
      </c>
      <c r="F9" s="21" t="s">
        <v>8</v>
      </c>
      <c r="G9" s="22">
        <v>132</v>
      </c>
      <c r="H9" s="170"/>
      <c r="I9" s="15">
        <f>Medicam_Nun_e_Gomes[[#This Row],[VALOR UNID]]*Medicam_Dados[[#This Row],[QUANT]]</f>
        <v>0</v>
      </c>
      <c r="J9" s="15">
        <f>Medicam_Nun_e_Gomes[[#This Row],[VALOR MÊS ]]*12</f>
        <v>0</v>
      </c>
      <c r="M9" s="15"/>
      <c r="P9" s="15">
        <f>Medicam_Nun_e_Gomes[[#This Row],[VALOR UNID]]</f>
        <v>0</v>
      </c>
      <c r="Q9" s="15" t="e">
        <f>#REF!</f>
        <v>#REF!</v>
      </c>
      <c r="R9" s="15" t="e">
        <f>#REF!</f>
        <v>#REF!</v>
      </c>
    </row>
    <row r="10" spans="1:18" s="8" customFormat="1" ht="22.5" customHeight="1" x14ac:dyDescent="0.25">
      <c r="A10" s="22" t="s">
        <v>24</v>
      </c>
      <c r="B10" s="21" t="s">
        <v>5</v>
      </c>
      <c r="C10" s="21" t="s">
        <v>25</v>
      </c>
      <c r="D10" s="21"/>
      <c r="E10" s="22" t="s">
        <v>26</v>
      </c>
      <c r="F10" s="21" t="s">
        <v>27</v>
      </c>
      <c r="G10" s="22">
        <v>482</v>
      </c>
      <c r="H10" s="235"/>
      <c r="I10" s="236">
        <f>Medicam_Nun_e_Gomes[[#This Row],[VALOR UNID]]*Medicam_Dados[[#This Row],[QUANT]]</f>
        <v>0</v>
      </c>
      <c r="J10" s="236">
        <f>Medicam_Nun_e_Gomes[[#This Row],[VALOR MÊS ]]*12</f>
        <v>0</v>
      </c>
      <c r="M10" s="15"/>
      <c r="P10" s="15">
        <f>Medicam_Nun_e_Gomes[[#This Row],[VALOR UNID]]</f>
        <v>0</v>
      </c>
      <c r="Q10" s="15" t="e">
        <f>#REF!</f>
        <v>#REF!</v>
      </c>
      <c r="R10" s="15" t="e">
        <f>#REF!</f>
        <v>#REF!</v>
      </c>
    </row>
    <row r="11" spans="1:18" s="8" customFormat="1" ht="22.5" customHeight="1" x14ac:dyDescent="0.25">
      <c r="A11" s="22" t="s">
        <v>28</v>
      </c>
      <c r="B11" s="21" t="s">
        <v>5</v>
      </c>
      <c r="C11" s="21" t="s">
        <v>1120</v>
      </c>
      <c r="D11" s="21" t="s">
        <v>1224</v>
      </c>
      <c r="E11" s="22" t="s">
        <v>1121</v>
      </c>
      <c r="F11" s="21" t="s">
        <v>8</v>
      </c>
      <c r="G11" s="22">
        <v>1850</v>
      </c>
      <c r="H11" s="170"/>
      <c r="I11" s="15">
        <f>Medicam_Nun_e_Gomes[[#This Row],[VALOR UNID]]*Medicam_Dados[[#This Row],[QUANT]]</f>
        <v>0</v>
      </c>
      <c r="J11" s="15">
        <f>Medicam_Nun_e_Gomes[[#This Row],[VALOR MÊS ]]*12</f>
        <v>0</v>
      </c>
      <c r="M11" s="15"/>
      <c r="P11" s="15">
        <f>Medicam_Nun_e_Gomes[[#This Row],[VALOR UNID]]</f>
        <v>0</v>
      </c>
      <c r="Q11" s="15" t="e">
        <f>#REF!</f>
        <v>#REF!</v>
      </c>
      <c r="R11" s="15" t="e">
        <f>#REF!</f>
        <v>#REF!</v>
      </c>
    </row>
    <row r="12" spans="1:18" s="8" customFormat="1" ht="22.5" customHeight="1" x14ac:dyDescent="0.25">
      <c r="A12" s="22" t="s">
        <v>29</v>
      </c>
      <c r="B12" s="21" t="s">
        <v>5</v>
      </c>
      <c r="C12" s="21" t="s">
        <v>30</v>
      </c>
      <c r="D12" s="21" t="s">
        <v>1225</v>
      </c>
      <c r="E12" s="22" t="s">
        <v>14</v>
      </c>
      <c r="F12" s="21" t="s">
        <v>8</v>
      </c>
      <c r="G12" s="22">
        <v>547</v>
      </c>
      <c r="H12" s="235"/>
      <c r="I12" s="236">
        <f>Medicam_Nun_e_Gomes[[#This Row],[VALOR UNID]]*Medicam_Dados[[#This Row],[QUANT]]</f>
        <v>0</v>
      </c>
      <c r="J12" s="236">
        <f>Medicam_Nun_e_Gomes[[#This Row],[VALOR MÊS ]]*12</f>
        <v>0</v>
      </c>
      <c r="M12" s="15"/>
      <c r="P12" s="15">
        <f>Medicam_Nun_e_Gomes[[#This Row],[VALOR UNID]]</f>
        <v>0</v>
      </c>
      <c r="Q12" s="15" t="e">
        <f>#REF!</f>
        <v>#REF!</v>
      </c>
      <c r="R12" s="15" t="e">
        <f>#REF!</f>
        <v>#REF!</v>
      </c>
    </row>
    <row r="13" spans="1:18" s="8" customFormat="1" ht="22.5" customHeight="1" x14ac:dyDescent="0.25">
      <c r="A13" s="22" t="s">
        <v>31</v>
      </c>
      <c r="B13" s="21" t="s">
        <v>5</v>
      </c>
      <c r="C13" s="21" t="s">
        <v>32</v>
      </c>
      <c r="D13" s="21" t="s">
        <v>1226</v>
      </c>
      <c r="E13" s="22" t="s">
        <v>33</v>
      </c>
      <c r="F13" s="21" t="s">
        <v>34</v>
      </c>
      <c r="G13" s="22">
        <v>398</v>
      </c>
      <c r="H13" s="170"/>
      <c r="I13" s="15">
        <f>Medicam_Nun_e_Gomes[[#This Row],[VALOR UNID]]*Medicam_Dados[[#This Row],[QUANT]]</f>
        <v>0</v>
      </c>
      <c r="J13" s="15">
        <f>Medicam_Nun_e_Gomes[[#This Row],[VALOR MÊS ]]*12</f>
        <v>0</v>
      </c>
      <c r="M13" s="15"/>
      <c r="P13" s="15">
        <f>Medicam_Nun_e_Gomes[[#This Row],[VALOR UNID]]</f>
        <v>0</v>
      </c>
      <c r="Q13" s="15" t="e">
        <f>#REF!</f>
        <v>#REF!</v>
      </c>
      <c r="R13" s="15" t="e">
        <f>#REF!</f>
        <v>#REF!</v>
      </c>
    </row>
    <row r="14" spans="1:18" s="8" customFormat="1" ht="22.5" customHeight="1" x14ac:dyDescent="0.25">
      <c r="A14" s="22" t="s">
        <v>35</v>
      </c>
      <c r="B14" s="21" t="s">
        <v>5</v>
      </c>
      <c r="C14" s="21" t="s">
        <v>36</v>
      </c>
      <c r="D14" s="21" t="s">
        <v>1227</v>
      </c>
      <c r="E14" s="22" t="s">
        <v>14</v>
      </c>
      <c r="F14" s="21" t="s">
        <v>8</v>
      </c>
      <c r="G14" s="22">
        <v>159</v>
      </c>
      <c r="H14" s="235"/>
      <c r="I14" s="236">
        <f>Medicam_Nun_e_Gomes[[#This Row],[VALOR UNID]]*Medicam_Dados[[#This Row],[QUANT]]</f>
        <v>0</v>
      </c>
      <c r="J14" s="236">
        <f>Medicam_Nun_e_Gomes[[#This Row],[VALOR MÊS ]]*12</f>
        <v>0</v>
      </c>
      <c r="M14" s="15"/>
      <c r="P14" s="15">
        <f>Medicam_Nun_e_Gomes[[#This Row],[VALOR UNID]]</f>
        <v>0</v>
      </c>
      <c r="Q14" s="15" t="e">
        <f>#REF!</f>
        <v>#REF!</v>
      </c>
      <c r="R14" s="15" t="e">
        <f>#REF!</f>
        <v>#REF!</v>
      </c>
    </row>
    <row r="15" spans="1:18" s="8" customFormat="1" ht="22.5" customHeight="1" x14ac:dyDescent="0.25">
      <c r="A15" s="22" t="s">
        <v>37</v>
      </c>
      <c r="B15" s="21" t="s">
        <v>5</v>
      </c>
      <c r="C15" s="21" t="s">
        <v>38</v>
      </c>
      <c r="D15" s="21" t="s">
        <v>1230</v>
      </c>
      <c r="E15" s="22" t="s">
        <v>39</v>
      </c>
      <c r="F15" s="21" t="s">
        <v>40</v>
      </c>
      <c r="G15" s="22">
        <v>15</v>
      </c>
      <c r="H15" s="170"/>
      <c r="I15" s="15">
        <f>Medicam_Nun_e_Gomes[[#This Row],[VALOR UNID]]/6*Medicam_Dados[[#This Row],[QUANT]]</f>
        <v>0</v>
      </c>
      <c r="J15" s="15">
        <f>Medicam_Nun_e_Gomes[[#This Row],[VALOR MÊS ]]*12</f>
        <v>0</v>
      </c>
      <c r="M15" s="15"/>
      <c r="P15" s="15">
        <f>Medicam_Nun_e_Gomes[[#This Row],[VALOR UNID]]</f>
        <v>0</v>
      </c>
      <c r="Q15" s="15" t="e">
        <f>#REF!</f>
        <v>#REF!</v>
      </c>
      <c r="R15" s="15" t="e">
        <f>#REF!</f>
        <v>#REF!</v>
      </c>
    </row>
    <row r="16" spans="1:18" s="8" customFormat="1" ht="22.5" customHeight="1" x14ac:dyDescent="0.25">
      <c r="A16" s="22" t="s">
        <v>41</v>
      </c>
      <c r="B16" s="21" t="s">
        <v>5</v>
      </c>
      <c r="C16" s="21" t="s">
        <v>42</v>
      </c>
      <c r="D16" s="21" t="s">
        <v>1229</v>
      </c>
      <c r="E16" s="22" t="s">
        <v>7</v>
      </c>
      <c r="F16" s="21" t="s">
        <v>8</v>
      </c>
      <c r="G16" s="22">
        <v>53</v>
      </c>
      <c r="H16" s="235"/>
      <c r="I16" s="236">
        <f>Medicam_Nun_e_Gomes[[#This Row],[VALOR UNID]]*Medicam_Dados[[#This Row],[QUANT]]</f>
        <v>0</v>
      </c>
      <c r="J16" s="236">
        <f>Medicam_Nun_e_Gomes[[#This Row],[VALOR MÊS ]]*12</f>
        <v>0</v>
      </c>
      <c r="M16" s="15"/>
      <c r="P16" s="15">
        <f>Medicam_Nun_e_Gomes[[#This Row],[VALOR UNID]]</f>
        <v>0</v>
      </c>
      <c r="Q16" s="15" t="e">
        <f>#REF!</f>
        <v>#REF!</v>
      </c>
      <c r="R16" s="15" t="e">
        <f>#REF!</f>
        <v>#REF!</v>
      </c>
    </row>
    <row r="17" spans="1:18" s="8" customFormat="1" ht="22.5" customHeight="1" x14ac:dyDescent="0.25">
      <c r="A17" s="22" t="s">
        <v>43</v>
      </c>
      <c r="B17" s="21" t="s">
        <v>5</v>
      </c>
      <c r="C17" s="21" t="s">
        <v>44</v>
      </c>
      <c r="D17" s="21" t="s">
        <v>1263</v>
      </c>
      <c r="E17" s="22" t="s">
        <v>45</v>
      </c>
      <c r="F17" s="21" t="s">
        <v>40</v>
      </c>
      <c r="G17" s="22">
        <v>30</v>
      </c>
      <c r="H17" s="170"/>
      <c r="I17" s="15">
        <f>Medicam_Nun_e_Gomes[[#This Row],[VALOR UNID]]/6*Medicam_Dados[[#This Row],[QUANT]]</f>
        <v>0</v>
      </c>
      <c r="J17" s="15">
        <f>Medicam_Nun_e_Gomes[[#This Row],[VALOR MÊS ]]*12</f>
        <v>0</v>
      </c>
      <c r="M17" s="15"/>
      <c r="P17" s="15">
        <f>Medicam_Nun_e_Gomes[[#This Row],[VALOR UNID]]</f>
        <v>0</v>
      </c>
      <c r="Q17" s="15" t="e">
        <f>#REF!</f>
        <v>#REF!</v>
      </c>
      <c r="R17" s="15" t="e">
        <f>#REF!</f>
        <v>#REF!</v>
      </c>
    </row>
    <row r="18" spans="1:18" s="8" customFormat="1" ht="22.5" customHeight="1" x14ac:dyDescent="0.25">
      <c r="A18" s="22" t="s">
        <v>46</v>
      </c>
      <c r="B18" s="21" t="s">
        <v>5</v>
      </c>
      <c r="C18" s="21" t="s">
        <v>47</v>
      </c>
      <c r="D18" s="21" t="s">
        <v>1228</v>
      </c>
      <c r="E18" s="22" t="s">
        <v>48</v>
      </c>
      <c r="F18" s="21" t="s">
        <v>8</v>
      </c>
      <c r="G18" s="22">
        <v>3700</v>
      </c>
      <c r="H18" s="235"/>
      <c r="I18" s="236">
        <f>Medicam_Nun_e_Gomes[[#This Row],[VALOR UNID]]*Medicam_Dados[[#This Row],[QUANT]]</f>
        <v>0</v>
      </c>
      <c r="J18" s="236">
        <f>Medicam_Nun_e_Gomes[[#This Row],[VALOR MÊS ]]*12</f>
        <v>0</v>
      </c>
      <c r="M18" s="15"/>
      <c r="P18" s="15">
        <f>Medicam_Nun_e_Gomes[[#This Row],[VALOR UNID]]</f>
        <v>0</v>
      </c>
      <c r="Q18" s="15" t="e">
        <f>#REF!</f>
        <v>#REF!</v>
      </c>
      <c r="R18" s="15" t="e">
        <f>#REF!</f>
        <v>#REF!</v>
      </c>
    </row>
    <row r="19" spans="1:18" s="8" customFormat="1" ht="22.5" customHeight="1" x14ac:dyDescent="0.25">
      <c r="A19" s="22" t="s">
        <v>49</v>
      </c>
      <c r="B19" s="21" t="s">
        <v>5</v>
      </c>
      <c r="C19" s="21" t="s">
        <v>50</v>
      </c>
      <c r="D19" s="21" t="s">
        <v>1231</v>
      </c>
      <c r="E19" s="22" t="s">
        <v>51</v>
      </c>
      <c r="F19" s="21" t="s">
        <v>52</v>
      </c>
      <c r="G19" s="22">
        <v>2500</v>
      </c>
      <c r="H19" s="170"/>
      <c r="I19" s="15">
        <f>Medicam_Nun_e_Gomes[[#This Row],[VALOR UNID]]*Medicam_Dados[[#This Row],[QUANT]]</f>
        <v>0</v>
      </c>
      <c r="J19" s="15">
        <f>Medicam_Nun_e_Gomes[[#This Row],[VALOR MÊS ]]*12</f>
        <v>0</v>
      </c>
      <c r="M19" s="15"/>
      <c r="P19" s="15">
        <f>Medicam_Nun_e_Gomes[[#This Row],[VALOR UNID]]</f>
        <v>0</v>
      </c>
      <c r="Q19" s="15" t="e">
        <f>#REF!</f>
        <v>#REF!</v>
      </c>
      <c r="R19" s="15" t="e">
        <f>#REF!</f>
        <v>#REF!</v>
      </c>
    </row>
    <row r="20" spans="1:18" s="8" customFormat="1" ht="22.5" customHeight="1" x14ac:dyDescent="0.25">
      <c r="A20" s="22" t="s">
        <v>53</v>
      </c>
      <c r="B20" s="21" t="s">
        <v>5</v>
      </c>
      <c r="C20" s="21" t="s">
        <v>54</v>
      </c>
      <c r="D20" s="21" t="s">
        <v>1232</v>
      </c>
      <c r="E20" s="22" t="s">
        <v>55</v>
      </c>
      <c r="F20" s="21" t="s">
        <v>56</v>
      </c>
      <c r="G20" s="22">
        <v>10</v>
      </c>
      <c r="H20" s="235"/>
      <c r="I20" s="236">
        <f>Medicam_Nun_e_Gomes[[#This Row],[VALOR UNID]]*Medicam_Dados[[#This Row],[QUANT]]</f>
        <v>0</v>
      </c>
      <c r="J20" s="236">
        <f>Medicam_Nun_e_Gomes[[#This Row],[VALOR MÊS ]]*12</f>
        <v>0</v>
      </c>
      <c r="M20" s="15"/>
      <c r="P20" s="15">
        <f>Medicam_Nun_e_Gomes[[#This Row],[VALOR UNID]]</f>
        <v>0</v>
      </c>
      <c r="Q20" s="15" t="e">
        <f>#REF!</f>
        <v>#REF!</v>
      </c>
      <c r="R20" s="15" t="e">
        <f>#REF!</f>
        <v>#REF!</v>
      </c>
    </row>
    <row r="21" spans="1:18" s="8" customFormat="1" ht="22.5" customHeight="1" x14ac:dyDescent="0.25">
      <c r="A21" s="22" t="s">
        <v>57</v>
      </c>
      <c r="B21" s="21" t="s">
        <v>5</v>
      </c>
      <c r="C21" s="21" t="s">
        <v>54</v>
      </c>
      <c r="D21" s="21" t="s">
        <v>1233</v>
      </c>
      <c r="E21" s="22" t="s">
        <v>58</v>
      </c>
      <c r="F21" s="21" t="s">
        <v>8</v>
      </c>
      <c r="G21" s="22">
        <v>1250</v>
      </c>
      <c r="H21" s="170"/>
      <c r="I21" s="15">
        <f>Medicam_Nun_e_Gomes[[#This Row],[VALOR UNID]]*Medicam_Dados[[#This Row],[QUANT]]</f>
        <v>0</v>
      </c>
      <c r="J21" s="15">
        <f>Medicam_Nun_e_Gomes[[#This Row],[VALOR MÊS ]]*12</f>
        <v>0</v>
      </c>
      <c r="M21" s="15"/>
      <c r="P21" s="15">
        <f>Medicam_Nun_e_Gomes[[#This Row],[VALOR UNID]]</f>
        <v>0</v>
      </c>
      <c r="Q21" s="15" t="e">
        <f>#REF!</f>
        <v>#REF!</v>
      </c>
      <c r="R21" s="15" t="e">
        <f>#REF!</f>
        <v>#REF!</v>
      </c>
    </row>
    <row r="22" spans="1:18" s="8" customFormat="1" ht="22.5" customHeight="1" x14ac:dyDescent="0.25">
      <c r="A22" s="22" t="s">
        <v>59</v>
      </c>
      <c r="B22" s="21" t="s">
        <v>5</v>
      </c>
      <c r="C22" s="21" t="s">
        <v>60</v>
      </c>
      <c r="D22" s="21"/>
      <c r="E22" s="22" t="s">
        <v>61</v>
      </c>
      <c r="F22" s="21" t="s">
        <v>40</v>
      </c>
      <c r="G22" s="22">
        <v>5</v>
      </c>
      <c r="H22" s="235"/>
      <c r="I22" s="236">
        <f>Medicam_Nun_e_Gomes[[#This Row],[VALOR UNID]]*Medicam_Dados[[#This Row],[QUANT]]</f>
        <v>0</v>
      </c>
      <c r="J22" s="236">
        <f>Medicam_Nun_e_Gomes[[#This Row],[VALOR MÊS ]]*12</f>
        <v>0</v>
      </c>
      <c r="M22" s="15"/>
      <c r="P22" s="15">
        <f>Medicam_Nun_e_Gomes[[#This Row],[VALOR UNID]]</f>
        <v>0</v>
      </c>
      <c r="Q22" s="15" t="e">
        <f>#REF!</f>
        <v>#REF!</v>
      </c>
      <c r="R22" s="15" t="e">
        <f>#REF!</f>
        <v>#REF!</v>
      </c>
    </row>
    <row r="23" spans="1:18" s="8" customFormat="1" ht="22.5" customHeight="1" x14ac:dyDescent="0.25">
      <c r="A23" s="22" t="s">
        <v>62</v>
      </c>
      <c r="B23" s="21" t="s">
        <v>5</v>
      </c>
      <c r="C23" s="21" t="s">
        <v>63</v>
      </c>
      <c r="D23" s="21" t="s">
        <v>1237</v>
      </c>
      <c r="E23" s="22" t="s">
        <v>64</v>
      </c>
      <c r="F23" s="21" t="s">
        <v>8</v>
      </c>
      <c r="G23" s="22">
        <v>1500</v>
      </c>
      <c r="H23" s="170"/>
      <c r="I23" s="15">
        <f>Medicam_Nun_e_Gomes[[#This Row],[VALOR UNID]]*Medicam_Dados[[#This Row],[QUANT]]</f>
        <v>0</v>
      </c>
      <c r="J23" s="15">
        <f>Medicam_Nun_e_Gomes[[#This Row],[VALOR MÊS ]]*12</f>
        <v>0</v>
      </c>
      <c r="M23" s="15"/>
      <c r="P23" s="15">
        <f>Medicam_Nun_e_Gomes[[#This Row],[VALOR UNID]]</f>
        <v>0</v>
      </c>
      <c r="Q23" s="15" t="e">
        <f>#REF!</f>
        <v>#REF!</v>
      </c>
      <c r="R23" s="15" t="e">
        <f>#REF!</f>
        <v>#REF!</v>
      </c>
    </row>
    <row r="24" spans="1:18" s="8" customFormat="1" ht="22.5" customHeight="1" x14ac:dyDescent="0.25">
      <c r="A24" s="22" t="s">
        <v>65</v>
      </c>
      <c r="B24" s="21" t="s">
        <v>5</v>
      </c>
      <c r="C24" s="21" t="s">
        <v>63</v>
      </c>
      <c r="D24" s="21" t="s">
        <v>1238</v>
      </c>
      <c r="E24" s="22" t="s">
        <v>66</v>
      </c>
      <c r="F24" s="21" t="s">
        <v>8</v>
      </c>
      <c r="G24" s="22">
        <v>1744</v>
      </c>
      <c r="H24" s="235"/>
      <c r="I24" s="236">
        <f>Medicam_Nun_e_Gomes[[#This Row],[VALOR UNID]]*Medicam_Dados[[#This Row],[QUANT]]</f>
        <v>0</v>
      </c>
      <c r="J24" s="236">
        <f>Medicam_Nun_e_Gomes[[#This Row],[VALOR MÊS ]]*12</f>
        <v>0</v>
      </c>
      <c r="M24" s="15"/>
      <c r="P24" s="15">
        <f>Medicam_Nun_e_Gomes[[#This Row],[VALOR UNID]]</f>
        <v>0</v>
      </c>
      <c r="Q24" s="15" t="e">
        <f>#REF!</f>
        <v>#REF!</v>
      </c>
      <c r="R24" s="15" t="e">
        <f>#REF!</f>
        <v>#REF!</v>
      </c>
    </row>
    <row r="25" spans="1:18" s="8" customFormat="1" ht="33.75" x14ac:dyDescent="0.25">
      <c r="A25" s="22" t="s">
        <v>67</v>
      </c>
      <c r="B25" s="21" t="s">
        <v>5</v>
      </c>
      <c r="C25" s="21" t="s">
        <v>68</v>
      </c>
      <c r="D25" s="21" t="s">
        <v>1264</v>
      </c>
      <c r="E25" s="22" t="s">
        <v>69</v>
      </c>
      <c r="F25" s="21" t="s">
        <v>8</v>
      </c>
      <c r="G25" s="22">
        <v>15000</v>
      </c>
      <c r="H25" s="170"/>
      <c r="I25" s="15">
        <f>Medicam_Nun_e_Gomes[[#This Row],[VALOR UNID]]*Medicam_Dados[[#This Row],[QUANT]]</f>
        <v>0</v>
      </c>
      <c r="J25" s="15">
        <f>Medicam_Nun_e_Gomes[[#This Row],[VALOR MÊS ]]*12</f>
        <v>0</v>
      </c>
      <c r="M25" s="15"/>
      <c r="P25" s="15">
        <f>Medicam_Nun_e_Gomes[[#This Row],[VALOR UNID]]</f>
        <v>0</v>
      </c>
      <c r="Q25" s="15" t="e">
        <f>#REF!</f>
        <v>#REF!</v>
      </c>
      <c r="R25" s="15" t="e">
        <f>#REF!</f>
        <v>#REF!</v>
      </c>
    </row>
    <row r="26" spans="1:18" s="8" customFormat="1" ht="33.75" x14ac:dyDescent="0.25">
      <c r="A26" s="22" t="s">
        <v>70</v>
      </c>
      <c r="B26" s="21" t="s">
        <v>5</v>
      </c>
      <c r="C26" s="21" t="s">
        <v>71</v>
      </c>
      <c r="D26" s="21" t="s">
        <v>1265</v>
      </c>
      <c r="E26" s="22" t="s">
        <v>72</v>
      </c>
      <c r="F26" s="21" t="s">
        <v>40</v>
      </c>
      <c r="G26" s="22">
        <v>150</v>
      </c>
      <c r="H26" s="235"/>
      <c r="I26" s="236">
        <f>Medicam_Nun_e_Gomes[[#This Row],[VALOR UNID]]/6*(Medicam_Dados[[#This Row],[QUANT]])</f>
        <v>0</v>
      </c>
      <c r="J26" s="236">
        <f>Medicam_Nun_e_Gomes[[#This Row],[VALOR MÊS ]]*12</f>
        <v>0</v>
      </c>
      <c r="M26" s="15"/>
      <c r="P26" s="15">
        <f>Medicam_Nun_e_Gomes[[#This Row],[VALOR UNID]]</f>
        <v>0</v>
      </c>
      <c r="Q26" s="15" t="e">
        <f>#REF!</f>
        <v>#REF!</v>
      </c>
      <c r="R26" s="15" t="e">
        <f>#REF!</f>
        <v>#REF!</v>
      </c>
    </row>
    <row r="27" spans="1:18" s="8" customFormat="1" ht="33.75" x14ac:dyDescent="0.25">
      <c r="A27" s="22" t="s">
        <v>73</v>
      </c>
      <c r="B27" s="21" t="s">
        <v>5</v>
      </c>
      <c r="C27" s="21" t="s">
        <v>74</v>
      </c>
      <c r="D27" s="21" t="s">
        <v>1234</v>
      </c>
      <c r="E27" s="22" t="s">
        <v>51</v>
      </c>
      <c r="F27" s="21" t="s">
        <v>52</v>
      </c>
      <c r="G27" s="22">
        <v>400</v>
      </c>
      <c r="H27" s="170"/>
      <c r="I27" s="15">
        <f>Medicam_Nun_e_Gomes[[#This Row],[VALOR UNID]]*Medicam_Dados[[#This Row],[QUANT]]</f>
        <v>0</v>
      </c>
      <c r="J27" s="15">
        <f>Medicam_Nun_e_Gomes[[#This Row],[VALOR MÊS ]]*12</f>
        <v>0</v>
      </c>
      <c r="M27" s="15"/>
      <c r="P27" s="15">
        <f>Medicam_Nun_e_Gomes[[#This Row],[VALOR UNID]]</f>
        <v>0</v>
      </c>
      <c r="Q27" s="15" t="e">
        <f>#REF!</f>
        <v>#REF!</v>
      </c>
      <c r="R27" s="15" t="e">
        <f>#REF!</f>
        <v>#REF!</v>
      </c>
    </row>
    <row r="28" spans="1:18" s="8" customFormat="1" ht="33.75" x14ac:dyDescent="0.25">
      <c r="A28" s="22" t="s">
        <v>75</v>
      </c>
      <c r="B28" s="21" t="s">
        <v>5</v>
      </c>
      <c r="C28" s="21" t="s">
        <v>76</v>
      </c>
      <c r="D28" s="21" t="s">
        <v>1266</v>
      </c>
      <c r="E28" s="22" t="s">
        <v>77</v>
      </c>
      <c r="F28" s="21" t="s">
        <v>78</v>
      </c>
      <c r="G28" s="22">
        <v>175</v>
      </c>
      <c r="H28" s="235"/>
      <c r="I28" s="236">
        <f>Medicam_Nun_e_Gomes[[#This Row],[VALOR UNID]]*Medicam_Dados[[#This Row],[QUANT]]</f>
        <v>0</v>
      </c>
      <c r="J28" s="236">
        <f>Medicam_Nun_e_Gomes[[#This Row],[VALOR MÊS ]]*12</f>
        <v>0</v>
      </c>
      <c r="M28" s="15"/>
      <c r="P28" s="15">
        <f>Medicam_Nun_e_Gomes[[#This Row],[VALOR UNID]]</f>
        <v>0</v>
      </c>
      <c r="Q28" s="15" t="e">
        <f>#REF!</f>
        <v>#REF!</v>
      </c>
      <c r="R28" s="15" t="e">
        <f>#REF!</f>
        <v>#REF!</v>
      </c>
    </row>
    <row r="29" spans="1:18" s="8" customFormat="1" ht="33.75" x14ac:dyDescent="0.25">
      <c r="A29" s="22" t="s">
        <v>79</v>
      </c>
      <c r="B29" s="21" t="s">
        <v>5</v>
      </c>
      <c r="C29" s="21" t="s">
        <v>80</v>
      </c>
      <c r="D29" s="21" t="s">
        <v>1267</v>
      </c>
      <c r="E29" s="22" t="s">
        <v>81</v>
      </c>
      <c r="F29" s="21" t="s">
        <v>40</v>
      </c>
      <c r="G29" s="22">
        <v>850</v>
      </c>
      <c r="H29" s="170"/>
      <c r="I29" s="15">
        <f>Medicam_Nun_e_Gomes[[#This Row],[VALOR UNID]]*Medicam_Dados[[#This Row],[QUANT]]</f>
        <v>0</v>
      </c>
      <c r="J29" s="15">
        <f>Medicam_Nun_e_Gomes[[#This Row],[VALOR MÊS ]]*12</f>
        <v>0</v>
      </c>
      <c r="M29" s="15"/>
      <c r="P29" s="15">
        <f>Medicam_Nun_e_Gomes[[#This Row],[VALOR UNID]]</f>
        <v>0</v>
      </c>
      <c r="Q29" s="15" t="e">
        <f>#REF!</f>
        <v>#REF!</v>
      </c>
      <c r="R29" s="15" t="e">
        <f>#REF!</f>
        <v>#REF!</v>
      </c>
    </row>
    <row r="30" spans="1:18" s="8" customFormat="1" ht="33.75" x14ac:dyDescent="0.25">
      <c r="A30" s="22" t="s">
        <v>82</v>
      </c>
      <c r="B30" s="21" t="s">
        <v>5</v>
      </c>
      <c r="C30" s="21" t="s">
        <v>83</v>
      </c>
      <c r="D30" s="21" t="s">
        <v>1236</v>
      </c>
      <c r="E30" s="22" t="s">
        <v>84</v>
      </c>
      <c r="F30" s="21" t="s">
        <v>85</v>
      </c>
      <c r="G30" s="22">
        <v>1586</v>
      </c>
      <c r="H30" s="235"/>
      <c r="I30" s="236">
        <f>Medicam_Nun_e_Gomes[[#This Row],[VALOR UNID]]*Medicam_Dados[[#This Row],[QUANT]]</f>
        <v>0</v>
      </c>
      <c r="J30" s="236">
        <f>Medicam_Nun_e_Gomes[[#This Row],[VALOR MÊS ]]*12</f>
        <v>0</v>
      </c>
      <c r="M30" s="15"/>
      <c r="P30" s="15">
        <f>Medicam_Nun_e_Gomes[[#This Row],[VALOR UNID]]</f>
        <v>0</v>
      </c>
      <c r="Q30" s="15" t="e">
        <f>#REF!</f>
        <v>#REF!</v>
      </c>
      <c r="R30" s="15" t="e">
        <f>#REF!</f>
        <v>#REF!</v>
      </c>
    </row>
    <row r="31" spans="1:18" s="8" customFormat="1" ht="33.75" x14ac:dyDescent="0.25">
      <c r="A31" s="22" t="s">
        <v>86</v>
      </c>
      <c r="B31" s="21" t="s">
        <v>5</v>
      </c>
      <c r="C31" s="21" t="s">
        <v>83</v>
      </c>
      <c r="D31" s="21" t="s">
        <v>1235</v>
      </c>
      <c r="E31" s="40">
        <v>0.1</v>
      </c>
      <c r="F31" s="21" t="s">
        <v>87</v>
      </c>
      <c r="G31" s="22">
        <v>1500</v>
      </c>
      <c r="H31" s="170"/>
      <c r="I31" s="15">
        <f>Medicam_Nun_e_Gomes[[#This Row],[VALOR UNID]]*Medicam_Dados[[#This Row],[QUANT]]</f>
        <v>0</v>
      </c>
      <c r="J31" s="15">
        <f>Medicam_Nun_e_Gomes[[#This Row],[VALOR MÊS ]]*12</f>
        <v>0</v>
      </c>
      <c r="M31" s="15"/>
      <c r="P31" s="15">
        <f>Medicam_Nun_e_Gomes[[#This Row],[VALOR UNID]]</f>
        <v>0</v>
      </c>
      <c r="Q31" s="15" t="e">
        <f>#REF!</f>
        <v>#REF!</v>
      </c>
      <c r="R31" s="15" t="e">
        <f>#REF!</f>
        <v>#REF!</v>
      </c>
    </row>
    <row r="32" spans="1:18" s="8" customFormat="1" ht="22.5" customHeight="1" x14ac:dyDescent="0.25">
      <c r="A32" s="22" t="s">
        <v>88</v>
      </c>
      <c r="B32" s="21" t="s">
        <v>5</v>
      </c>
      <c r="C32" s="21" t="s">
        <v>89</v>
      </c>
      <c r="D32" s="21" t="s">
        <v>1133</v>
      </c>
      <c r="E32" s="40">
        <v>8.4000000000000005E-2</v>
      </c>
      <c r="F32" s="21" t="s">
        <v>90</v>
      </c>
      <c r="G32" s="22">
        <v>30</v>
      </c>
      <c r="H32" s="235"/>
      <c r="I32" s="236">
        <f>Medicam_Nun_e_Gomes[[#This Row],[VALOR UNID]]/6*(Medicam_Dados[[#This Row],[QUANT]])</f>
        <v>0</v>
      </c>
      <c r="J32" s="236">
        <f>Medicam_Nun_e_Gomes[[#This Row],[VALOR MÊS ]]*12</f>
        <v>0</v>
      </c>
      <c r="M32" s="15"/>
      <c r="P32" s="15">
        <f>Medicam_Nun_e_Gomes[[#This Row],[VALOR UNID]]</f>
        <v>0</v>
      </c>
      <c r="Q32" s="15" t="e">
        <f>#REF!</f>
        <v>#REF!</v>
      </c>
      <c r="R32" s="15" t="e">
        <f>#REF!</f>
        <v>#REF!</v>
      </c>
    </row>
    <row r="33" spans="1:18" s="8" customFormat="1" ht="33.75" x14ac:dyDescent="0.25">
      <c r="A33" s="22" t="s">
        <v>91</v>
      </c>
      <c r="B33" s="21" t="s">
        <v>5</v>
      </c>
      <c r="C33" s="21" t="s">
        <v>92</v>
      </c>
      <c r="D33" s="21" t="s">
        <v>1269</v>
      </c>
      <c r="E33" s="22" t="s">
        <v>93</v>
      </c>
      <c r="F33" s="21" t="s">
        <v>8</v>
      </c>
      <c r="G33" s="22">
        <v>350</v>
      </c>
      <c r="H33" s="170"/>
      <c r="I33" s="15">
        <f>Medicam_Nun_e_Gomes[[#This Row],[VALOR UNID]]*Medicam_Dados[[#This Row],[QUANT]]</f>
        <v>0</v>
      </c>
      <c r="J33" s="15">
        <f>Medicam_Nun_e_Gomes[[#This Row],[VALOR MÊS ]]*12</f>
        <v>0</v>
      </c>
      <c r="M33" s="15"/>
      <c r="P33" s="15">
        <f>Medicam_Nun_e_Gomes[[#This Row],[VALOR UNID]]</f>
        <v>0</v>
      </c>
      <c r="Q33" s="15" t="e">
        <f>#REF!</f>
        <v>#REF!</v>
      </c>
      <c r="R33" s="15" t="e">
        <f>#REF!</f>
        <v>#REF!</v>
      </c>
    </row>
    <row r="34" spans="1:18" s="8" customFormat="1" ht="33.75" x14ac:dyDescent="0.25">
      <c r="A34" s="22" t="s">
        <v>94</v>
      </c>
      <c r="B34" s="21" t="s">
        <v>5</v>
      </c>
      <c r="C34" s="21" t="s">
        <v>95</v>
      </c>
      <c r="D34" s="21" t="s">
        <v>1268</v>
      </c>
      <c r="E34" s="22" t="s">
        <v>96</v>
      </c>
      <c r="F34" s="21" t="s">
        <v>40</v>
      </c>
      <c r="G34" s="22">
        <v>30</v>
      </c>
      <c r="H34" s="235"/>
      <c r="I34" s="236">
        <f>Medicam_Nun_e_Gomes[[#This Row],[VALOR UNID]]/6*(Medicam_Dados[[#This Row],[QUANT]])</f>
        <v>0</v>
      </c>
      <c r="J34" s="236">
        <f>Medicam_Nun_e_Gomes[[#This Row],[VALOR MÊS ]]*12</f>
        <v>0</v>
      </c>
      <c r="M34" s="15"/>
      <c r="P34" s="15">
        <f>Medicam_Nun_e_Gomes[[#This Row],[VALOR UNID]]</f>
        <v>0</v>
      </c>
      <c r="Q34" s="15" t="e">
        <f>#REF!</f>
        <v>#REF!</v>
      </c>
      <c r="R34" s="15" t="e">
        <f>#REF!</f>
        <v>#REF!</v>
      </c>
    </row>
    <row r="35" spans="1:18" s="8" customFormat="1" ht="33.75" x14ac:dyDescent="0.25">
      <c r="A35" s="22" t="s">
        <v>97</v>
      </c>
      <c r="B35" s="21" t="s">
        <v>5</v>
      </c>
      <c r="C35" s="21" t="s">
        <v>98</v>
      </c>
      <c r="D35" s="21" t="s">
        <v>1294</v>
      </c>
      <c r="E35" s="22" t="s">
        <v>66</v>
      </c>
      <c r="F35" s="21" t="s">
        <v>99</v>
      </c>
      <c r="G35" s="22">
        <v>900</v>
      </c>
      <c r="H35" s="170"/>
      <c r="I35" s="15">
        <f>Medicam_Nun_e_Gomes[[#This Row],[VALOR UNID]]*Medicam_Dados[[#This Row],[QUANT]]</f>
        <v>0</v>
      </c>
      <c r="J35" s="15">
        <f>Medicam_Nun_e_Gomes[[#This Row],[VALOR MÊS ]]*12</f>
        <v>0</v>
      </c>
      <c r="M35" s="15"/>
      <c r="P35" s="15">
        <f>Medicam_Nun_e_Gomes[[#This Row],[VALOR UNID]]</f>
        <v>0</v>
      </c>
      <c r="Q35" s="15" t="e">
        <f>#REF!</f>
        <v>#REF!</v>
      </c>
      <c r="R35" s="15" t="e">
        <f>#REF!</f>
        <v>#REF!</v>
      </c>
    </row>
    <row r="36" spans="1:18" s="8" customFormat="1" ht="33.75" x14ac:dyDescent="0.25">
      <c r="A36" s="22" t="s">
        <v>100</v>
      </c>
      <c r="B36" s="21" t="s">
        <v>5</v>
      </c>
      <c r="C36" s="21" t="s">
        <v>101</v>
      </c>
      <c r="D36" s="21" t="s">
        <v>1293</v>
      </c>
      <c r="E36" s="22" t="s">
        <v>194</v>
      </c>
      <c r="F36" s="21" t="s">
        <v>102</v>
      </c>
      <c r="G36" s="22">
        <v>90</v>
      </c>
      <c r="H36" s="235"/>
      <c r="I36" s="236">
        <f>Medicam_Nun_e_Gomes[[#This Row],[VALOR UNID]]*Medicam_Dados[[#This Row],[QUANT]]</f>
        <v>0</v>
      </c>
      <c r="J36" s="236">
        <f>Medicam_Nun_e_Gomes[[#This Row],[VALOR MÊS ]]*12</f>
        <v>0</v>
      </c>
      <c r="M36" s="15"/>
      <c r="P36" s="15">
        <f>Medicam_Nun_e_Gomes[[#This Row],[VALOR UNID]]</f>
        <v>0</v>
      </c>
      <c r="Q36" s="15" t="e">
        <f>#REF!</f>
        <v>#REF!</v>
      </c>
      <c r="R36" s="15" t="e">
        <f>#REF!</f>
        <v>#REF!</v>
      </c>
    </row>
    <row r="37" spans="1:18" s="8" customFormat="1" ht="33.75" x14ac:dyDescent="0.25">
      <c r="A37" s="22" t="s">
        <v>103</v>
      </c>
      <c r="B37" s="21" t="s">
        <v>5</v>
      </c>
      <c r="C37" s="21" t="s">
        <v>101</v>
      </c>
      <c r="D37" s="21" t="s">
        <v>1239</v>
      </c>
      <c r="E37" s="22" t="s">
        <v>64</v>
      </c>
      <c r="F37" s="21" t="s">
        <v>8</v>
      </c>
      <c r="G37" s="22">
        <v>1050</v>
      </c>
      <c r="H37" s="170"/>
      <c r="I37" s="15">
        <f>Medicam_Nun_e_Gomes[[#This Row],[VALOR UNID]]*Medicam_Dados[[#This Row],[QUANT]]</f>
        <v>0</v>
      </c>
      <c r="J37" s="15">
        <f>Medicam_Nun_e_Gomes[[#This Row],[VALOR MÊS ]]*12</f>
        <v>0</v>
      </c>
      <c r="M37" s="15"/>
      <c r="P37" s="15">
        <f>Medicam_Nun_e_Gomes[[#This Row],[VALOR UNID]]</f>
        <v>0</v>
      </c>
      <c r="Q37" s="15" t="e">
        <f>#REF!</f>
        <v>#REF!</v>
      </c>
      <c r="R37" s="15" t="e">
        <f>#REF!</f>
        <v>#REF!</v>
      </c>
    </row>
    <row r="38" spans="1:18" s="8" customFormat="1" ht="33.75" x14ac:dyDescent="0.25">
      <c r="A38" s="22" t="s">
        <v>105</v>
      </c>
      <c r="B38" s="21" t="s">
        <v>5</v>
      </c>
      <c r="C38" s="21" t="s">
        <v>101</v>
      </c>
      <c r="D38" s="21" t="s">
        <v>1240</v>
      </c>
      <c r="E38" s="22" t="s">
        <v>96</v>
      </c>
      <c r="F38" s="21" t="s">
        <v>40</v>
      </c>
      <c r="G38" s="22">
        <v>60</v>
      </c>
      <c r="H38" s="235"/>
      <c r="I38" s="236">
        <f>Medicam_Nun_e_Gomes[[#This Row],[VALOR UNID]]*Medicam_Dados[[#This Row],[QUANT]]</f>
        <v>0</v>
      </c>
      <c r="J38" s="236">
        <f>Medicam_Nun_e_Gomes[[#This Row],[VALOR MÊS ]]*12</f>
        <v>0</v>
      </c>
      <c r="M38" s="15"/>
      <c r="P38" s="15">
        <f>Medicam_Nun_e_Gomes[[#This Row],[VALOR UNID]]</f>
        <v>0</v>
      </c>
      <c r="Q38" s="15" t="e">
        <f>#REF!</f>
        <v>#REF!</v>
      </c>
      <c r="R38" s="15" t="e">
        <f>#REF!</f>
        <v>#REF!</v>
      </c>
    </row>
    <row r="39" spans="1:18" s="8" customFormat="1" ht="33.75" x14ac:dyDescent="0.25">
      <c r="A39" s="22" t="s">
        <v>106</v>
      </c>
      <c r="B39" s="21" t="s">
        <v>5</v>
      </c>
      <c r="C39" s="21" t="s">
        <v>107</v>
      </c>
      <c r="D39" s="21" t="s">
        <v>1134</v>
      </c>
      <c r="E39" s="22" t="s">
        <v>140</v>
      </c>
      <c r="F39" s="21" t="s">
        <v>8</v>
      </c>
      <c r="G39" s="22">
        <v>23500</v>
      </c>
      <c r="H39" s="170"/>
      <c r="I39" s="15">
        <f>Medicam_Nun_e_Gomes[[#This Row],[VALOR UNID]]*Medicam_Dados[[#This Row],[QUANT]]</f>
        <v>0</v>
      </c>
      <c r="J39" s="15">
        <f>Medicam_Nun_e_Gomes[[#This Row],[VALOR MÊS ]]*12</f>
        <v>0</v>
      </c>
      <c r="M39" s="15"/>
      <c r="P39" s="15">
        <f>Medicam_Nun_e_Gomes[[#This Row],[VALOR UNID]]</f>
        <v>0</v>
      </c>
      <c r="Q39" s="15" t="e">
        <f>#REF!</f>
        <v>#REF!</v>
      </c>
      <c r="R39" s="15" t="e">
        <f>#REF!</f>
        <v>#REF!</v>
      </c>
    </row>
    <row r="40" spans="1:18" s="8" customFormat="1" ht="33.75" x14ac:dyDescent="0.25">
      <c r="A40" s="22" t="s">
        <v>108</v>
      </c>
      <c r="B40" s="21" t="s">
        <v>5</v>
      </c>
      <c r="C40" s="21" t="s">
        <v>109</v>
      </c>
      <c r="D40" s="21" t="s">
        <v>1135</v>
      </c>
      <c r="E40" s="22" t="s">
        <v>134</v>
      </c>
      <c r="F40" s="21" t="s">
        <v>8</v>
      </c>
      <c r="G40" s="22">
        <v>3700</v>
      </c>
      <c r="H40" s="235"/>
      <c r="I40" s="236">
        <f>Medicam_Nun_e_Gomes[[#This Row],[VALOR UNID]]*Medicam_Dados[[#This Row],[QUANT]]</f>
        <v>0</v>
      </c>
      <c r="J40" s="236">
        <f>Medicam_Nun_e_Gomes[[#This Row],[VALOR MÊS ]]*12</f>
        <v>0</v>
      </c>
      <c r="M40" s="15"/>
      <c r="P40" s="15">
        <f>Medicam_Nun_e_Gomes[[#This Row],[VALOR UNID]]</f>
        <v>0</v>
      </c>
      <c r="Q40" s="15" t="e">
        <f>#REF!</f>
        <v>#REF!</v>
      </c>
      <c r="R40" s="15" t="e">
        <f>#REF!</f>
        <v>#REF!</v>
      </c>
    </row>
    <row r="41" spans="1:18" s="8" customFormat="1" ht="33.75" x14ac:dyDescent="0.25">
      <c r="A41" s="22" t="s">
        <v>110</v>
      </c>
      <c r="B41" s="21" t="s">
        <v>5</v>
      </c>
      <c r="C41" s="21" t="s">
        <v>111</v>
      </c>
      <c r="D41" s="21" t="s">
        <v>1136</v>
      </c>
      <c r="E41" s="22" t="s">
        <v>112</v>
      </c>
      <c r="F41" s="21" t="s">
        <v>8</v>
      </c>
      <c r="G41" s="22">
        <v>978</v>
      </c>
      <c r="H41" s="170"/>
      <c r="I41" s="15">
        <f>Medicam_Nun_e_Gomes[[#This Row],[VALOR UNID]]*Medicam_Dados[[#This Row],[QUANT]]</f>
        <v>0</v>
      </c>
      <c r="J41" s="15">
        <f>Medicam_Nun_e_Gomes[[#This Row],[VALOR MÊS ]]*12</f>
        <v>0</v>
      </c>
      <c r="M41" s="15"/>
      <c r="P41" s="15">
        <f>Medicam_Nun_e_Gomes[[#This Row],[VALOR UNID]]</f>
        <v>0</v>
      </c>
      <c r="Q41" s="15" t="e">
        <f>#REF!</f>
        <v>#REF!</v>
      </c>
      <c r="R41" s="15" t="e">
        <f>#REF!</f>
        <v>#REF!</v>
      </c>
    </row>
    <row r="42" spans="1:18" s="8" customFormat="1" ht="33.75" x14ac:dyDescent="0.25">
      <c r="A42" s="22" t="s">
        <v>114</v>
      </c>
      <c r="B42" s="21" t="s">
        <v>5</v>
      </c>
      <c r="C42" s="21" t="s">
        <v>115</v>
      </c>
      <c r="D42" s="21" t="s">
        <v>1137</v>
      </c>
      <c r="E42" s="22" t="s">
        <v>116</v>
      </c>
      <c r="F42" s="21" t="s">
        <v>8</v>
      </c>
      <c r="G42" s="22">
        <v>159</v>
      </c>
      <c r="H42" s="235"/>
      <c r="I42" s="236">
        <f>Medicam_Nun_e_Gomes[[#This Row],[VALOR UNID]]/6*(Medicam_Dados[[#This Row],[QUANT]])</f>
        <v>0</v>
      </c>
      <c r="J42" s="236">
        <f>Medicam_Nun_e_Gomes[[#This Row],[VALOR MÊS ]]*12</f>
        <v>0</v>
      </c>
      <c r="M42" s="15"/>
      <c r="P42" s="15">
        <f>Medicam_Nun_e_Gomes[[#This Row],[VALOR UNID]]</f>
        <v>0</v>
      </c>
      <c r="Q42" s="15" t="e">
        <f>#REF!</f>
        <v>#REF!</v>
      </c>
      <c r="R42" s="15" t="e">
        <f>#REF!</f>
        <v>#REF!</v>
      </c>
    </row>
    <row r="43" spans="1:18" s="8" customFormat="1" ht="33.75" x14ac:dyDescent="0.25">
      <c r="A43" s="22" t="s">
        <v>117</v>
      </c>
      <c r="B43" s="21" t="s">
        <v>5</v>
      </c>
      <c r="C43" s="21" t="s">
        <v>115</v>
      </c>
      <c r="D43" s="21" t="s">
        <v>1138</v>
      </c>
      <c r="E43" s="22" t="s">
        <v>118</v>
      </c>
      <c r="F43" s="21" t="s">
        <v>8</v>
      </c>
      <c r="G43" s="22">
        <v>212</v>
      </c>
      <c r="H43" s="170"/>
      <c r="I43" s="15">
        <f>Medicam_Nun_e_Gomes[[#This Row],[VALOR UNID]]*Medicam_Dados[[#This Row],[QUANT]]</f>
        <v>0</v>
      </c>
      <c r="J43" s="15">
        <f>Medicam_Nun_e_Gomes[[#This Row],[VALOR MÊS ]]*12</f>
        <v>0</v>
      </c>
      <c r="M43" s="15"/>
      <c r="P43" s="15">
        <f>Medicam_Nun_e_Gomes[[#This Row],[VALOR UNID]]</f>
        <v>0</v>
      </c>
      <c r="Q43" s="15" t="e">
        <f>#REF!</f>
        <v>#REF!</v>
      </c>
      <c r="R43" s="15" t="e">
        <f>#REF!</f>
        <v>#REF!</v>
      </c>
    </row>
    <row r="44" spans="1:18" s="8" customFormat="1" ht="33.75" x14ac:dyDescent="0.25">
      <c r="A44" s="22" t="s">
        <v>119</v>
      </c>
      <c r="B44" s="21" t="s">
        <v>5</v>
      </c>
      <c r="C44" s="21" t="s">
        <v>115</v>
      </c>
      <c r="D44" s="21" t="s">
        <v>1139</v>
      </c>
      <c r="E44" s="22" t="s">
        <v>120</v>
      </c>
      <c r="F44" s="21" t="s">
        <v>8</v>
      </c>
      <c r="G44" s="22">
        <v>106</v>
      </c>
      <c r="H44" s="235"/>
      <c r="I44" s="236">
        <f>Medicam_Nun_e_Gomes[[#This Row],[VALOR UNID]]*Medicam_Dados[[#This Row],[QUANT]]</f>
        <v>0</v>
      </c>
      <c r="J44" s="236">
        <f>Medicam_Nun_e_Gomes[[#This Row],[VALOR MÊS ]]*12</f>
        <v>0</v>
      </c>
      <c r="M44" s="15"/>
      <c r="P44" s="15">
        <f>Medicam_Nun_e_Gomes[[#This Row],[VALOR UNID]]</f>
        <v>0</v>
      </c>
      <c r="Q44" s="15" t="e">
        <f>#REF!</f>
        <v>#REF!</v>
      </c>
      <c r="R44" s="15" t="e">
        <f>#REF!</f>
        <v>#REF!</v>
      </c>
    </row>
    <row r="45" spans="1:18" s="8" customFormat="1" ht="33.75" x14ac:dyDescent="0.25">
      <c r="A45" s="22" t="s">
        <v>121</v>
      </c>
      <c r="B45" s="21" t="s">
        <v>5</v>
      </c>
      <c r="C45" s="21" t="s">
        <v>122</v>
      </c>
      <c r="D45" s="21" t="s">
        <v>1271</v>
      </c>
      <c r="E45" s="22" t="s">
        <v>1270</v>
      </c>
      <c r="F45" s="21" t="s">
        <v>8</v>
      </c>
      <c r="G45" s="22">
        <v>3700</v>
      </c>
      <c r="H45" s="170"/>
      <c r="I45" s="15">
        <f>Medicam_Nun_e_Gomes[[#This Row],[VALOR UNID]]*Medicam_Dados[[#This Row],[QUANT]]</f>
        <v>0</v>
      </c>
      <c r="J45" s="15">
        <f>Medicam_Nun_e_Gomes[[#This Row],[VALOR MÊS ]]*12</f>
        <v>0</v>
      </c>
      <c r="M45" s="15"/>
      <c r="P45" s="15">
        <f>Medicam_Nun_e_Gomes[[#This Row],[VALOR UNID]]</f>
        <v>0</v>
      </c>
      <c r="Q45" s="15" t="e">
        <f>#REF!</f>
        <v>#REF!</v>
      </c>
      <c r="R45" s="15" t="e">
        <f>#REF!</f>
        <v>#REF!</v>
      </c>
    </row>
    <row r="46" spans="1:18" s="8" customFormat="1" ht="33.75" x14ac:dyDescent="0.25">
      <c r="A46" s="22" t="s">
        <v>123</v>
      </c>
      <c r="B46" s="21" t="s">
        <v>5</v>
      </c>
      <c r="C46" s="21" t="s">
        <v>124</v>
      </c>
      <c r="D46" s="21" t="s">
        <v>1272</v>
      </c>
      <c r="E46" s="22" t="s">
        <v>125</v>
      </c>
      <c r="F46" s="21" t="s">
        <v>56</v>
      </c>
      <c r="G46" s="22">
        <v>6</v>
      </c>
      <c r="H46" s="235"/>
      <c r="I46" s="236">
        <f>Medicam_Nun_e_Gomes[[#This Row],[VALOR UNID]]*Medicam_Dados[[#This Row],[QUANT]]</f>
        <v>0</v>
      </c>
      <c r="J46" s="236">
        <f>Medicam_Nun_e_Gomes[[#This Row],[VALOR MÊS ]]*12</f>
        <v>0</v>
      </c>
      <c r="M46" s="15"/>
      <c r="P46" s="15">
        <f>Medicam_Nun_e_Gomes[[#This Row],[VALOR UNID]]</f>
        <v>0</v>
      </c>
      <c r="Q46" s="15" t="e">
        <f>#REF!</f>
        <v>#REF!</v>
      </c>
      <c r="R46" s="15" t="e">
        <f>#REF!</f>
        <v>#REF!</v>
      </c>
    </row>
    <row r="47" spans="1:18" s="8" customFormat="1" ht="22.5" customHeight="1" x14ac:dyDescent="0.25">
      <c r="A47" s="22" t="s">
        <v>126</v>
      </c>
      <c r="B47" s="21" t="s">
        <v>5</v>
      </c>
      <c r="C47" s="21" t="s">
        <v>127</v>
      </c>
      <c r="D47" s="21" t="s">
        <v>1140</v>
      </c>
      <c r="E47" s="22" t="s">
        <v>125</v>
      </c>
      <c r="F47" s="21" t="s">
        <v>56</v>
      </c>
      <c r="G47" s="22">
        <v>150</v>
      </c>
      <c r="H47" s="170"/>
      <c r="I47" s="15">
        <f>Medicam_Nun_e_Gomes[[#This Row],[VALOR UNID]]*Medicam_Dados[[#This Row],[QUANT]]</f>
        <v>0</v>
      </c>
      <c r="J47" s="15">
        <f>Medicam_Nun_e_Gomes[[#This Row],[VALOR MÊS ]]*12</f>
        <v>0</v>
      </c>
      <c r="M47" s="15"/>
      <c r="P47" s="15">
        <f>Medicam_Nun_e_Gomes[[#This Row],[VALOR UNID]]</f>
        <v>0</v>
      </c>
      <c r="Q47" s="15" t="e">
        <f>#REF!</f>
        <v>#REF!</v>
      </c>
      <c r="R47" s="15" t="e">
        <f>#REF!</f>
        <v>#REF!</v>
      </c>
    </row>
    <row r="48" spans="1:18" s="8" customFormat="1" ht="33.75" x14ac:dyDescent="0.25">
      <c r="A48" s="22" t="s">
        <v>128</v>
      </c>
      <c r="B48" s="21" t="s">
        <v>5</v>
      </c>
      <c r="C48" s="21" t="s">
        <v>129</v>
      </c>
      <c r="D48" s="21" t="s">
        <v>1141</v>
      </c>
      <c r="E48" s="22" t="s">
        <v>130</v>
      </c>
      <c r="F48" s="21" t="s">
        <v>11</v>
      </c>
      <c r="G48" s="22">
        <v>500</v>
      </c>
      <c r="H48" s="235"/>
      <c r="I48" s="236">
        <f>Medicam_Nun_e_Gomes[[#This Row],[VALOR UNID]]*Medicam_Dados[[#This Row],[QUANT]]</f>
        <v>0</v>
      </c>
      <c r="J48" s="236">
        <f>Medicam_Nun_e_Gomes[[#This Row],[VALOR MÊS ]]*12</f>
        <v>0</v>
      </c>
      <c r="M48" s="15"/>
      <c r="P48" s="15">
        <f>Medicam_Nun_e_Gomes[[#This Row],[VALOR UNID]]</f>
        <v>0</v>
      </c>
      <c r="Q48" s="15" t="e">
        <f>#REF!</f>
        <v>#REF!</v>
      </c>
      <c r="R48" s="15" t="e">
        <f>#REF!</f>
        <v>#REF!</v>
      </c>
    </row>
    <row r="49" spans="1:18" s="8" customFormat="1" ht="33.75" x14ac:dyDescent="0.25">
      <c r="A49" s="22" t="s">
        <v>131</v>
      </c>
      <c r="B49" s="21" t="s">
        <v>5</v>
      </c>
      <c r="C49" s="21" t="s">
        <v>129</v>
      </c>
      <c r="D49" s="21" t="s">
        <v>1142</v>
      </c>
      <c r="E49" s="40">
        <v>0.02</v>
      </c>
      <c r="F49" s="21" t="s">
        <v>132</v>
      </c>
      <c r="G49" s="22">
        <v>1321</v>
      </c>
      <c r="H49" s="170"/>
      <c r="I49" s="15">
        <f>Medicam_Nun_e_Gomes[[#This Row],[VALOR UNID]]*Medicam_Dados[[#This Row],[QUANT]]</f>
        <v>0</v>
      </c>
      <c r="J49" s="15">
        <f>Medicam_Nun_e_Gomes[[#This Row],[VALOR MÊS ]]*12</f>
        <v>0</v>
      </c>
      <c r="M49" s="15"/>
      <c r="P49" s="15">
        <f>Medicam_Nun_e_Gomes[[#This Row],[VALOR UNID]]</f>
        <v>0</v>
      </c>
      <c r="Q49" s="15" t="e">
        <f>#REF!</f>
        <v>#REF!</v>
      </c>
      <c r="R49" s="15" t="e">
        <f>#REF!</f>
        <v>#REF!</v>
      </c>
    </row>
    <row r="50" spans="1:18" s="8" customFormat="1" ht="33.75" x14ac:dyDescent="0.25">
      <c r="A50" s="22" t="s">
        <v>133</v>
      </c>
      <c r="B50" s="21" t="s">
        <v>5</v>
      </c>
      <c r="C50" s="21" t="s">
        <v>129</v>
      </c>
      <c r="D50" s="21" t="s">
        <v>1143</v>
      </c>
      <c r="E50" s="22" t="s">
        <v>134</v>
      </c>
      <c r="F50" s="21" t="s">
        <v>8</v>
      </c>
      <c r="G50" s="22">
        <v>1105</v>
      </c>
      <c r="H50" s="235"/>
      <c r="I50" s="236">
        <f>Medicam_Nun_e_Gomes[[#This Row],[VALOR UNID]]*Medicam_Dados[[#This Row],[QUANT]]</f>
        <v>0</v>
      </c>
      <c r="J50" s="236">
        <f>Medicam_Nun_e_Gomes[[#This Row],[VALOR MÊS ]]*12</f>
        <v>0</v>
      </c>
      <c r="M50" s="15"/>
      <c r="P50" s="15">
        <f>Medicam_Nun_e_Gomes[[#This Row],[VALOR UNID]]</f>
        <v>0</v>
      </c>
      <c r="Q50" s="15" t="e">
        <f>#REF!</f>
        <v>#REF!</v>
      </c>
      <c r="R50" s="15" t="e">
        <f>#REF!</f>
        <v>#REF!</v>
      </c>
    </row>
    <row r="51" spans="1:18" s="8" customFormat="1" ht="33.75" x14ac:dyDescent="0.25">
      <c r="A51" s="22" t="s">
        <v>135</v>
      </c>
      <c r="B51" s="21" t="s">
        <v>5</v>
      </c>
      <c r="C51" s="21" t="s">
        <v>136</v>
      </c>
      <c r="D51" s="21" t="s">
        <v>1273</v>
      </c>
      <c r="E51" s="22" t="s">
        <v>137</v>
      </c>
      <c r="F51" s="21" t="s">
        <v>40</v>
      </c>
      <c r="G51" s="22">
        <v>185</v>
      </c>
      <c r="H51" s="170"/>
      <c r="I51" s="15">
        <f>Medicam_Nun_e_Gomes[[#This Row],[VALOR UNID]]*Medicam_Dados[[#This Row],[QUANT]]</f>
        <v>0</v>
      </c>
      <c r="J51" s="15">
        <f>Medicam_Nun_e_Gomes[[#This Row],[VALOR MÊS ]]*12</f>
        <v>0</v>
      </c>
      <c r="M51" s="15"/>
      <c r="P51" s="15">
        <f>Medicam_Nun_e_Gomes[[#This Row],[VALOR UNID]]</f>
        <v>0</v>
      </c>
      <c r="Q51" s="15" t="e">
        <f>#REF!</f>
        <v>#REF!</v>
      </c>
      <c r="R51" s="15" t="e">
        <f>#REF!</f>
        <v>#REF!</v>
      </c>
    </row>
    <row r="52" spans="1:18" s="8" customFormat="1" ht="33.75" x14ac:dyDescent="0.25">
      <c r="A52" s="22" t="s">
        <v>138</v>
      </c>
      <c r="B52" s="21" t="s">
        <v>5</v>
      </c>
      <c r="C52" s="21" t="s">
        <v>139</v>
      </c>
      <c r="D52" s="21" t="s">
        <v>1144</v>
      </c>
      <c r="E52" s="22" t="s">
        <v>140</v>
      </c>
      <c r="F52" s="21" t="s">
        <v>8</v>
      </c>
      <c r="G52" s="22">
        <v>30</v>
      </c>
      <c r="H52" s="235"/>
      <c r="I52" s="236">
        <f>Medicam_Nun_e_Gomes[[#This Row],[VALOR UNID]]*Medicam_Dados[[#This Row],[QUANT]]</f>
        <v>0</v>
      </c>
      <c r="J52" s="236">
        <f>Medicam_Nun_e_Gomes[[#This Row],[VALOR MÊS ]]*12</f>
        <v>0</v>
      </c>
      <c r="M52" s="15"/>
      <c r="P52" s="15">
        <f>Medicam_Nun_e_Gomes[[#This Row],[VALOR UNID]]</f>
        <v>0</v>
      </c>
      <c r="Q52" s="15" t="e">
        <f>#REF!</f>
        <v>#REF!</v>
      </c>
      <c r="R52" s="15" t="e">
        <f>#REF!</f>
        <v>#REF!</v>
      </c>
    </row>
    <row r="53" spans="1:18" s="8" customFormat="1" ht="33.75" x14ac:dyDescent="0.25">
      <c r="A53" s="22" t="s">
        <v>141</v>
      </c>
      <c r="B53" s="21" t="s">
        <v>5</v>
      </c>
      <c r="C53" s="21" t="s">
        <v>139</v>
      </c>
      <c r="D53" s="21" t="s">
        <v>1145</v>
      </c>
      <c r="E53" s="22" t="s">
        <v>142</v>
      </c>
      <c r="F53" s="21" t="s">
        <v>8</v>
      </c>
      <c r="G53" s="22">
        <v>45</v>
      </c>
      <c r="H53" s="170"/>
      <c r="I53" s="15">
        <f>Medicam_Nun_e_Gomes[[#This Row],[VALOR UNID]]*Medicam_Dados[[#This Row],[QUANT]]</f>
        <v>0</v>
      </c>
      <c r="J53" s="15">
        <f>Medicam_Nun_e_Gomes[[#This Row],[VALOR MÊS ]]*12</f>
        <v>0</v>
      </c>
      <c r="M53" s="15"/>
      <c r="P53" s="15">
        <f>Medicam_Nun_e_Gomes[[#This Row],[VALOR UNID]]</f>
        <v>0</v>
      </c>
      <c r="Q53" s="15" t="e">
        <f>#REF!</f>
        <v>#REF!</v>
      </c>
      <c r="R53" s="15" t="e">
        <f>#REF!</f>
        <v>#REF!</v>
      </c>
    </row>
    <row r="54" spans="1:18" s="8" customFormat="1" ht="33.75" x14ac:dyDescent="0.25">
      <c r="A54" s="22" t="s">
        <v>143</v>
      </c>
      <c r="B54" s="21" t="s">
        <v>5</v>
      </c>
      <c r="C54" s="21" t="s">
        <v>144</v>
      </c>
      <c r="D54" s="21" t="s">
        <v>1146</v>
      </c>
      <c r="E54" s="22" t="s">
        <v>14</v>
      </c>
      <c r="F54" s="21" t="s">
        <v>8</v>
      </c>
      <c r="G54" s="22">
        <v>285</v>
      </c>
      <c r="H54" s="235"/>
      <c r="I54" s="236">
        <f>Medicam_Nun_e_Gomes[[#This Row],[VALOR UNID]]*Medicam_Dados[[#This Row],[QUANT]]</f>
        <v>0</v>
      </c>
      <c r="J54" s="236">
        <f>Medicam_Nun_e_Gomes[[#This Row],[VALOR MÊS ]]*12</f>
        <v>0</v>
      </c>
      <c r="M54" s="15"/>
      <c r="P54" s="15">
        <f>Medicam_Nun_e_Gomes[[#This Row],[VALOR UNID]]</f>
        <v>0</v>
      </c>
      <c r="Q54" s="15" t="e">
        <f>#REF!</f>
        <v>#REF!</v>
      </c>
      <c r="R54" s="15" t="e">
        <f>#REF!</f>
        <v>#REF!</v>
      </c>
    </row>
    <row r="55" spans="1:18" s="8" customFormat="1" ht="33.75" x14ac:dyDescent="0.25">
      <c r="A55" s="22" t="s">
        <v>145</v>
      </c>
      <c r="B55" s="21" t="s">
        <v>5</v>
      </c>
      <c r="C55" s="21" t="s">
        <v>146</v>
      </c>
      <c r="D55" s="21" t="s">
        <v>1274</v>
      </c>
      <c r="E55" s="22" t="s">
        <v>51</v>
      </c>
      <c r="F55" s="21" t="s">
        <v>8</v>
      </c>
      <c r="G55" s="22">
        <v>768</v>
      </c>
      <c r="H55" s="170"/>
      <c r="I55" s="15">
        <f>Medicam_Nun_e_Gomes[[#This Row],[VALOR UNID]]*Medicam_Dados[[#This Row],[QUANT]]</f>
        <v>0</v>
      </c>
      <c r="J55" s="15">
        <f>Medicam_Nun_e_Gomes[[#This Row],[VALOR MÊS ]]*12</f>
        <v>0</v>
      </c>
      <c r="M55" s="15"/>
      <c r="P55" s="15">
        <f>Medicam_Nun_e_Gomes[[#This Row],[VALOR UNID]]</f>
        <v>0</v>
      </c>
      <c r="Q55" s="15" t="e">
        <f>#REF!</f>
        <v>#REF!</v>
      </c>
      <c r="R55" s="15" t="e">
        <f>#REF!</f>
        <v>#REF!</v>
      </c>
    </row>
    <row r="56" spans="1:18" s="8" customFormat="1" ht="33.75" x14ac:dyDescent="0.25">
      <c r="A56" s="22" t="s">
        <v>147</v>
      </c>
      <c r="B56" s="21" t="s">
        <v>5</v>
      </c>
      <c r="C56" s="21" t="s">
        <v>148</v>
      </c>
      <c r="D56" s="21" t="s">
        <v>1147</v>
      </c>
      <c r="E56" s="22" t="s">
        <v>51</v>
      </c>
      <c r="F56" s="21" t="s">
        <v>8</v>
      </c>
      <c r="G56" s="22">
        <v>53</v>
      </c>
      <c r="H56" s="235"/>
      <c r="I56" s="236">
        <f>Medicam_Nun_e_Gomes[[#This Row],[VALOR UNID]]*Medicam_Dados[[#This Row],[QUANT]]</f>
        <v>0</v>
      </c>
      <c r="J56" s="236">
        <f>Medicam_Nun_e_Gomes[[#This Row],[VALOR MÊS ]]*12</f>
        <v>0</v>
      </c>
      <c r="M56" s="15"/>
      <c r="P56" s="15">
        <f>Medicam_Nun_e_Gomes[[#This Row],[VALOR UNID]]</f>
        <v>0</v>
      </c>
      <c r="Q56" s="15" t="e">
        <f>#REF!</f>
        <v>#REF!</v>
      </c>
      <c r="R56" s="15" t="e">
        <f>#REF!</f>
        <v>#REF!</v>
      </c>
    </row>
    <row r="57" spans="1:18" s="8" customFormat="1" ht="33.75" x14ac:dyDescent="0.25">
      <c r="A57" s="22" t="s">
        <v>149</v>
      </c>
      <c r="B57" s="21" t="s">
        <v>5</v>
      </c>
      <c r="C57" s="21" t="s">
        <v>150</v>
      </c>
      <c r="D57" s="21" t="s">
        <v>1148</v>
      </c>
      <c r="E57" s="22" t="s">
        <v>151</v>
      </c>
      <c r="F57" s="21" t="s">
        <v>11</v>
      </c>
      <c r="G57" s="22">
        <v>175</v>
      </c>
      <c r="H57" s="170"/>
      <c r="I57" s="15">
        <f>Medicam_Nun_e_Gomes[[#This Row],[VALOR UNID]]*Medicam_Dados[[#This Row],[QUANT]]</f>
        <v>0</v>
      </c>
      <c r="J57" s="15">
        <f>Medicam_Nun_e_Gomes[[#This Row],[VALOR MÊS ]]*12</f>
        <v>0</v>
      </c>
      <c r="M57" s="15"/>
      <c r="P57" s="15">
        <f>Medicam_Nun_e_Gomes[[#This Row],[VALOR UNID]]</f>
        <v>0</v>
      </c>
      <c r="Q57" s="15" t="e">
        <f>#REF!</f>
        <v>#REF!</v>
      </c>
      <c r="R57" s="15" t="e">
        <f>#REF!</f>
        <v>#REF!</v>
      </c>
    </row>
    <row r="58" spans="1:18" s="8" customFormat="1" ht="33.75" x14ac:dyDescent="0.25">
      <c r="A58" s="22" t="s">
        <v>152</v>
      </c>
      <c r="B58" s="21" t="s">
        <v>5</v>
      </c>
      <c r="C58" s="21" t="s">
        <v>153</v>
      </c>
      <c r="D58" s="21" t="s">
        <v>1149</v>
      </c>
      <c r="E58" s="22" t="s">
        <v>154</v>
      </c>
      <c r="F58" s="21" t="s">
        <v>8</v>
      </c>
      <c r="G58" s="22">
        <v>17000</v>
      </c>
      <c r="H58" s="235"/>
      <c r="I58" s="236">
        <f>Medicam_Nun_e_Gomes[[#This Row],[VALOR UNID]]*Medicam_Dados[[#This Row],[QUANT]]</f>
        <v>0</v>
      </c>
      <c r="J58" s="236">
        <f>Medicam_Nun_e_Gomes[[#This Row],[VALOR MÊS ]]*12</f>
        <v>0</v>
      </c>
      <c r="M58" s="15"/>
      <c r="P58" s="15">
        <f>Medicam_Nun_e_Gomes[[#This Row],[VALOR UNID]]</f>
        <v>0</v>
      </c>
      <c r="Q58" s="15" t="e">
        <f>#REF!</f>
        <v>#REF!</v>
      </c>
      <c r="R58" s="15" t="e">
        <f>#REF!</f>
        <v>#REF!</v>
      </c>
    </row>
    <row r="59" spans="1:18" s="8" customFormat="1" ht="33.75" x14ac:dyDescent="0.25">
      <c r="A59" s="22" t="s">
        <v>155</v>
      </c>
      <c r="B59" s="21" t="s">
        <v>5</v>
      </c>
      <c r="C59" s="21" t="s">
        <v>156</v>
      </c>
      <c r="D59" s="21" t="s">
        <v>1275</v>
      </c>
      <c r="E59" s="22" t="s">
        <v>157</v>
      </c>
      <c r="F59" s="21" t="s">
        <v>8</v>
      </c>
      <c r="G59" s="22">
        <v>200</v>
      </c>
      <c r="H59" s="170"/>
      <c r="I59" s="15">
        <f>Medicam_Nun_e_Gomes[[#This Row],[VALOR UNID]]*Medicam_Dados[[#This Row],[QUANT]]</f>
        <v>0</v>
      </c>
      <c r="J59" s="15">
        <f>Medicam_Nun_e_Gomes[[#This Row],[VALOR MÊS ]]*12</f>
        <v>0</v>
      </c>
      <c r="M59" s="15"/>
      <c r="P59" s="15">
        <f>Medicam_Nun_e_Gomes[[#This Row],[VALOR UNID]]</f>
        <v>0</v>
      </c>
      <c r="Q59" s="15" t="e">
        <f>#REF!</f>
        <v>#REF!</v>
      </c>
      <c r="R59" s="15" t="e">
        <f>#REF!</f>
        <v>#REF!</v>
      </c>
    </row>
    <row r="60" spans="1:18" s="8" customFormat="1" ht="33.75" x14ac:dyDescent="0.25">
      <c r="A60" s="22" t="s">
        <v>158</v>
      </c>
      <c r="B60" s="21" t="s">
        <v>5</v>
      </c>
      <c r="C60" s="21" t="s">
        <v>159</v>
      </c>
      <c r="D60" s="21" t="s">
        <v>1150</v>
      </c>
      <c r="E60" s="41">
        <v>0.191</v>
      </c>
      <c r="F60" s="21" t="s">
        <v>40</v>
      </c>
      <c r="G60" s="22">
        <v>60</v>
      </c>
      <c r="H60" s="235"/>
      <c r="I60" s="236">
        <f>Medicam_Nun_e_Gomes[[#This Row],[VALOR UNID]]*Medicam_Dados[[#This Row],[QUANT]]</f>
        <v>0</v>
      </c>
      <c r="J60" s="236">
        <f>Medicam_Nun_e_Gomes[[#This Row],[VALOR MÊS ]]*12</f>
        <v>0</v>
      </c>
      <c r="M60" s="15"/>
      <c r="P60" s="15">
        <f>Medicam_Nun_e_Gomes[[#This Row],[VALOR UNID]]</f>
        <v>0</v>
      </c>
      <c r="Q60" s="15" t="e">
        <f>#REF!</f>
        <v>#REF!</v>
      </c>
      <c r="R60" s="15" t="e">
        <f>#REF!</f>
        <v>#REF!</v>
      </c>
    </row>
    <row r="61" spans="1:18" s="8" customFormat="1" ht="33.75" x14ac:dyDescent="0.25">
      <c r="A61" s="22" t="s">
        <v>160</v>
      </c>
      <c r="B61" s="21" t="s">
        <v>5</v>
      </c>
      <c r="C61" s="21" t="s">
        <v>161</v>
      </c>
      <c r="D61" s="21"/>
      <c r="E61" s="22" t="s">
        <v>162</v>
      </c>
      <c r="F61" s="21" t="s">
        <v>163</v>
      </c>
      <c r="G61" s="22">
        <v>105</v>
      </c>
      <c r="H61" s="170"/>
      <c r="I61" s="15">
        <f>Medicam_Nun_e_Gomes[[#This Row],[VALOR UNID]]/6*(Medicam_Dados[[#This Row],[QUANT]])</f>
        <v>0</v>
      </c>
      <c r="J61" s="15">
        <f>Medicam_Nun_e_Gomes[[#This Row],[VALOR MÊS ]]*12</f>
        <v>0</v>
      </c>
      <c r="M61" s="15"/>
      <c r="P61" s="15">
        <f>Medicam_Nun_e_Gomes[[#This Row],[VALOR UNID]]</f>
        <v>0</v>
      </c>
      <c r="Q61" s="15" t="e">
        <f>#REF!</f>
        <v>#REF!</v>
      </c>
      <c r="R61" s="15" t="e">
        <f>#REF!</f>
        <v>#REF!</v>
      </c>
    </row>
    <row r="62" spans="1:18" s="8" customFormat="1" ht="33.75" x14ac:dyDescent="0.25">
      <c r="A62" s="22" t="s">
        <v>164</v>
      </c>
      <c r="B62" s="21" t="s">
        <v>5</v>
      </c>
      <c r="C62" s="21" t="s">
        <v>161</v>
      </c>
      <c r="D62" s="21"/>
      <c r="E62" s="22" t="s">
        <v>165</v>
      </c>
      <c r="F62" s="21" t="s">
        <v>163</v>
      </c>
      <c r="G62" s="22">
        <v>105</v>
      </c>
      <c r="H62" s="235"/>
      <c r="I62" s="236">
        <f>Medicam_Nun_e_Gomes[[#This Row],[VALOR UNID]]*Medicam_Dados[[#This Row],[QUANT]]</f>
        <v>0</v>
      </c>
      <c r="J62" s="236">
        <f>Medicam_Nun_e_Gomes[[#This Row],[VALOR MÊS ]]*12</f>
        <v>0</v>
      </c>
      <c r="M62" s="15"/>
      <c r="P62" s="15">
        <f>Medicam_Nun_e_Gomes[[#This Row],[VALOR UNID]]</f>
        <v>0</v>
      </c>
      <c r="Q62" s="15" t="e">
        <f>#REF!</f>
        <v>#REF!</v>
      </c>
      <c r="R62" s="15" t="e">
        <f>#REF!</f>
        <v>#REF!</v>
      </c>
    </row>
    <row r="63" spans="1:18" s="8" customFormat="1" ht="33.75" x14ac:dyDescent="0.25">
      <c r="A63" s="22" t="s">
        <v>166</v>
      </c>
      <c r="B63" s="21" t="s">
        <v>5</v>
      </c>
      <c r="C63" s="21" t="s">
        <v>161</v>
      </c>
      <c r="D63" s="21"/>
      <c r="E63" s="22" t="s">
        <v>167</v>
      </c>
      <c r="F63" s="21" t="s">
        <v>163</v>
      </c>
      <c r="G63" s="22">
        <v>105</v>
      </c>
      <c r="H63" s="170"/>
      <c r="I63" s="15">
        <f>Medicam_Nun_e_Gomes[[#This Row],[VALOR UNID]]*Medicam_Dados[[#This Row],[QUANT]]</f>
        <v>0</v>
      </c>
      <c r="J63" s="15">
        <f>Medicam_Nun_e_Gomes[[#This Row],[VALOR MÊS ]]*12</f>
        <v>0</v>
      </c>
      <c r="M63" s="15"/>
      <c r="P63" s="15">
        <f>Medicam_Nun_e_Gomes[[#This Row],[VALOR UNID]]</f>
        <v>0</v>
      </c>
      <c r="Q63" s="15" t="e">
        <f>#REF!</f>
        <v>#REF!</v>
      </c>
      <c r="R63" s="15" t="e">
        <f>#REF!</f>
        <v>#REF!</v>
      </c>
    </row>
    <row r="64" spans="1:18" s="8" customFormat="1" ht="33.75" x14ac:dyDescent="0.25">
      <c r="A64" s="22" t="s">
        <v>168</v>
      </c>
      <c r="B64" s="21" t="s">
        <v>5</v>
      </c>
      <c r="C64" s="21" t="s">
        <v>169</v>
      </c>
      <c r="D64" s="21" t="s">
        <v>1276</v>
      </c>
      <c r="E64" s="40">
        <v>0.2</v>
      </c>
      <c r="F64" s="21" t="s">
        <v>40</v>
      </c>
      <c r="G64" s="22">
        <v>60</v>
      </c>
      <c r="H64" s="235"/>
      <c r="I64" s="236">
        <f>Medicam_Nun_e_Gomes[[#This Row],[VALOR UNID]]*Medicam_Dados[[#This Row],[QUANT]]</f>
        <v>0</v>
      </c>
      <c r="J64" s="236">
        <f>Medicam_Nun_e_Gomes[[#This Row],[VALOR MÊS ]]*12</f>
        <v>0</v>
      </c>
      <c r="M64" s="15"/>
      <c r="P64" s="15">
        <f>Medicam_Nun_e_Gomes[[#This Row],[VALOR UNID]]</f>
        <v>0</v>
      </c>
      <c r="Q64" s="15" t="e">
        <f>#REF!</f>
        <v>#REF!</v>
      </c>
      <c r="R64" s="15" t="e">
        <f>#REF!</f>
        <v>#REF!</v>
      </c>
    </row>
    <row r="65" spans="1:18" s="8" customFormat="1" ht="33.75" x14ac:dyDescent="0.25">
      <c r="A65" s="22" t="s">
        <v>170</v>
      </c>
      <c r="B65" s="21" t="s">
        <v>5</v>
      </c>
      <c r="C65" s="21" t="s">
        <v>171</v>
      </c>
      <c r="D65" s="21" t="s">
        <v>1277</v>
      </c>
      <c r="E65" s="22" t="s">
        <v>172</v>
      </c>
      <c r="F65" s="21" t="s">
        <v>173</v>
      </c>
      <c r="G65" s="22">
        <v>175</v>
      </c>
      <c r="H65" s="170"/>
      <c r="I65" s="15">
        <f>Medicam_Nun_e_Gomes[[#This Row],[VALOR UNID]]/6*(Medicam_Dados[[#This Row],[QUANT]])</f>
        <v>0</v>
      </c>
      <c r="J65" s="15">
        <f>Medicam_Nun_e_Gomes[[#This Row],[VALOR MÊS ]]*12</f>
        <v>0</v>
      </c>
      <c r="M65" s="15"/>
      <c r="P65" s="15">
        <f>Medicam_Nun_e_Gomes[[#This Row],[VALOR UNID]]</f>
        <v>0</v>
      </c>
      <c r="Q65" s="15" t="e">
        <f>#REF!</f>
        <v>#REF!</v>
      </c>
      <c r="R65" s="15" t="e">
        <f>#REF!</f>
        <v>#REF!</v>
      </c>
    </row>
    <row r="66" spans="1:18" s="8" customFormat="1" ht="33.75" x14ac:dyDescent="0.25">
      <c r="A66" s="22" t="s">
        <v>174</v>
      </c>
      <c r="B66" s="21" t="s">
        <v>5</v>
      </c>
      <c r="C66" s="21" t="s">
        <v>175</v>
      </c>
      <c r="D66" s="21" t="s">
        <v>1151</v>
      </c>
      <c r="E66" s="22" t="s">
        <v>48</v>
      </c>
      <c r="F66" s="21" t="s">
        <v>8</v>
      </c>
      <c r="G66" s="22">
        <v>400</v>
      </c>
      <c r="H66" s="235"/>
      <c r="I66" s="236">
        <f>Medicam_Nun_e_Gomes[[#This Row],[VALOR UNID]]*Medicam_Dados[[#This Row],[QUANT]]</f>
        <v>0</v>
      </c>
      <c r="J66" s="236">
        <f>Medicam_Nun_e_Gomes[[#This Row],[VALOR MÊS ]]*12</f>
        <v>0</v>
      </c>
      <c r="M66" s="15"/>
      <c r="P66" s="15">
        <f>Medicam_Nun_e_Gomes[[#This Row],[VALOR UNID]]</f>
        <v>0</v>
      </c>
      <c r="Q66" s="15" t="e">
        <f>#REF!</f>
        <v>#REF!</v>
      </c>
      <c r="R66" s="15" t="e">
        <f>#REF!</f>
        <v>#REF!</v>
      </c>
    </row>
    <row r="67" spans="1:18" s="8" customFormat="1" ht="33.75" x14ac:dyDescent="0.25">
      <c r="A67" s="22" t="s">
        <v>176</v>
      </c>
      <c r="B67" s="21" t="s">
        <v>5</v>
      </c>
      <c r="C67" s="21" t="s">
        <v>175</v>
      </c>
      <c r="D67" s="21" t="s">
        <v>1152</v>
      </c>
      <c r="E67" s="22" t="s">
        <v>14</v>
      </c>
      <c r="F67" s="21" t="s">
        <v>8</v>
      </c>
      <c r="G67" s="22">
        <v>1250</v>
      </c>
      <c r="H67" s="170"/>
      <c r="I67" s="15">
        <f>Medicam_Nun_e_Gomes[[#This Row],[VALOR UNID]]*Medicam_Dados[[#This Row],[QUANT]]</f>
        <v>0</v>
      </c>
      <c r="J67" s="15">
        <f>Medicam_Nun_e_Gomes[[#This Row],[VALOR MÊS ]]*12</f>
        <v>0</v>
      </c>
      <c r="M67" s="15"/>
      <c r="P67" s="15">
        <f>Medicam_Nun_e_Gomes[[#This Row],[VALOR UNID]]</f>
        <v>0</v>
      </c>
      <c r="Q67" s="15" t="e">
        <f>#REF!</f>
        <v>#REF!</v>
      </c>
      <c r="R67" s="15" t="e">
        <f>#REF!</f>
        <v>#REF!</v>
      </c>
    </row>
    <row r="68" spans="1:18" s="8" customFormat="1" ht="33.75" x14ac:dyDescent="0.25">
      <c r="A68" s="22" t="s">
        <v>177</v>
      </c>
      <c r="B68" s="21" t="s">
        <v>5</v>
      </c>
      <c r="C68" s="21" t="s">
        <v>178</v>
      </c>
      <c r="D68" s="21" t="s">
        <v>1153</v>
      </c>
      <c r="E68" s="22" t="s">
        <v>96</v>
      </c>
      <c r="F68" s="21" t="s">
        <v>40</v>
      </c>
      <c r="G68" s="22">
        <v>15</v>
      </c>
      <c r="H68" s="235"/>
      <c r="I68" s="236">
        <f>Medicam_Nun_e_Gomes[[#This Row],[VALOR UNID]]*Medicam_Dados[[#This Row],[QUANT]]</f>
        <v>0</v>
      </c>
      <c r="J68" s="236">
        <f>Medicam_Nun_e_Gomes[[#This Row],[VALOR MÊS ]]*12</f>
        <v>0</v>
      </c>
      <c r="M68" s="15"/>
      <c r="P68" s="15">
        <f>Medicam_Nun_e_Gomes[[#This Row],[VALOR UNID]]</f>
        <v>0</v>
      </c>
      <c r="Q68" s="15" t="e">
        <f>#REF!</f>
        <v>#REF!</v>
      </c>
      <c r="R68" s="15" t="e">
        <f>#REF!</f>
        <v>#REF!</v>
      </c>
    </row>
    <row r="69" spans="1:18" s="8" customFormat="1" ht="33.75" x14ac:dyDescent="0.25">
      <c r="A69" s="22" t="s">
        <v>179</v>
      </c>
      <c r="B69" s="21" t="s">
        <v>5</v>
      </c>
      <c r="C69" s="21" t="s">
        <v>180</v>
      </c>
      <c r="D69" s="21"/>
      <c r="E69" s="22" t="s">
        <v>181</v>
      </c>
      <c r="F69" s="21" t="s">
        <v>8</v>
      </c>
      <c r="G69" s="22">
        <v>159</v>
      </c>
      <c r="H69" s="170"/>
      <c r="I69" s="15">
        <f>Medicam_Nun_e_Gomes[[#This Row],[VALOR UNID]]/6*(Medicam_Dados[[#This Row],[QUANT]])</f>
        <v>0</v>
      </c>
      <c r="J69" s="15">
        <f>Medicam_Nun_e_Gomes[[#This Row],[VALOR MÊS ]]*12</f>
        <v>0</v>
      </c>
      <c r="M69" s="15"/>
      <c r="P69" s="15">
        <f>Medicam_Nun_e_Gomes[[#This Row],[VALOR UNID]]</f>
        <v>0</v>
      </c>
      <c r="Q69" s="15" t="e">
        <f>#REF!</f>
        <v>#REF!</v>
      </c>
      <c r="R69" s="15" t="e">
        <f>#REF!</f>
        <v>#REF!</v>
      </c>
    </row>
    <row r="70" spans="1:18" s="8" customFormat="1" ht="33.75" x14ac:dyDescent="0.25">
      <c r="A70" s="22" t="s">
        <v>182</v>
      </c>
      <c r="B70" s="21" t="s">
        <v>5</v>
      </c>
      <c r="C70" s="21" t="s">
        <v>183</v>
      </c>
      <c r="D70" s="21" t="s">
        <v>1278</v>
      </c>
      <c r="E70" s="22" t="s">
        <v>184</v>
      </c>
      <c r="F70" s="21" t="s">
        <v>185</v>
      </c>
      <c r="G70" s="22">
        <v>175</v>
      </c>
      <c r="H70" s="235"/>
      <c r="I70" s="236">
        <f>Medicam_Nun_e_Gomes[[#This Row],[VALOR UNID]]*Medicam_Dados[[#This Row],[QUANT]]</f>
        <v>0</v>
      </c>
      <c r="J70" s="236">
        <f>Medicam_Nun_e_Gomes[[#This Row],[VALOR MÊS ]]*12</f>
        <v>0</v>
      </c>
      <c r="M70" s="15"/>
      <c r="P70" s="15">
        <f>Medicam_Nun_e_Gomes[[#This Row],[VALOR UNID]]</f>
        <v>0</v>
      </c>
      <c r="Q70" s="15" t="e">
        <f>#REF!</f>
        <v>#REF!</v>
      </c>
      <c r="R70" s="15" t="e">
        <f>#REF!</f>
        <v>#REF!</v>
      </c>
    </row>
    <row r="71" spans="1:18" s="8" customFormat="1" ht="33.75" x14ac:dyDescent="0.25">
      <c r="A71" s="22" t="s">
        <v>186</v>
      </c>
      <c r="B71" s="21" t="s">
        <v>5</v>
      </c>
      <c r="C71" s="21" t="s">
        <v>187</v>
      </c>
      <c r="D71" s="21" t="s">
        <v>1320</v>
      </c>
      <c r="E71" s="22" t="s">
        <v>188</v>
      </c>
      <c r="F71" s="21" t="s">
        <v>185</v>
      </c>
      <c r="G71" s="22">
        <v>5</v>
      </c>
      <c r="H71" s="170"/>
      <c r="I71" s="15">
        <f>Medicam_Nun_e_Gomes[[#This Row],[VALOR UNID]]*Medicam_Dados[[#This Row],[QUANT]]</f>
        <v>0</v>
      </c>
      <c r="J71" s="15">
        <f>Medicam_Nun_e_Gomes[[#This Row],[VALOR MÊS ]]*12</f>
        <v>0</v>
      </c>
      <c r="M71" s="15"/>
      <c r="P71" s="15">
        <f>Medicam_Nun_e_Gomes[[#This Row],[VALOR UNID]]</f>
        <v>0</v>
      </c>
      <c r="Q71" s="15" t="e">
        <f>#REF!</f>
        <v>#REF!</v>
      </c>
      <c r="R71" s="15" t="e">
        <f>#REF!</f>
        <v>#REF!</v>
      </c>
    </row>
    <row r="72" spans="1:18" s="8" customFormat="1" ht="33.75" x14ac:dyDescent="0.25">
      <c r="A72" s="22" t="s">
        <v>189</v>
      </c>
      <c r="B72" s="21" t="s">
        <v>5</v>
      </c>
      <c r="C72" s="21" t="s">
        <v>190</v>
      </c>
      <c r="D72" s="21"/>
      <c r="E72" s="22" t="s">
        <v>191</v>
      </c>
      <c r="F72" s="21" t="s">
        <v>8</v>
      </c>
      <c r="G72" s="22">
        <v>3000</v>
      </c>
      <c r="H72" s="235"/>
      <c r="I72" s="236">
        <f>Medicam_Nun_e_Gomes[[#This Row],[VALOR UNID]]*Medicam_Dados[[#This Row],[QUANT]]</f>
        <v>0</v>
      </c>
      <c r="J72" s="236">
        <f>Medicam_Nun_e_Gomes[[#This Row],[VALOR MÊS ]]*12</f>
        <v>0</v>
      </c>
      <c r="M72" s="15"/>
      <c r="P72" s="15">
        <f>Medicam_Nun_e_Gomes[[#This Row],[VALOR UNID]]</f>
        <v>0</v>
      </c>
      <c r="Q72" s="15" t="e">
        <f>#REF!</f>
        <v>#REF!</v>
      </c>
      <c r="R72" s="15" t="e">
        <f>#REF!</f>
        <v>#REF!</v>
      </c>
    </row>
    <row r="73" spans="1:18" s="8" customFormat="1" ht="33.75" x14ac:dyDescent="0.25">
      <c r="A73" s="22" t="s">
        <v>192</v>
      </c>
      <c r="B73" s="21" t="s">
        <v>5</v>
      </c>
      <c r="C73" s="21" t="s">
        <v>193</v>
      </c>
      <c r="D73" s="21"/>
      <c r="E73" s="22" t="s">
        <v>194</v>
      </c>
      <c r="F73" s="21" t="s">
        <v>40</v>
      </c>
      <c r="G73" s="22">
        <v>5</v>
      </c>
      <c r="H73" s="170"/>
      <c r="I73" s="15">
        <f>Medicam_Nun_e_Gomes[[#This Row],[VALOR UNID]]*Medicam_Dados[[#This Row],[QUANT]]</f>
        <v>0</v>
      </c>
      <c r="J73" s="15">
        <f>Medicam_Nun_e_Gomes[[#This Row],[VALOR MÊS ]]*12</f>
        <v>0</v>
      </c>
      <c r="M73" s="15"/>
      <c r="P73" s="15">
        <f>Medicam_Nun_e_Gomes[[#This Row],[VALOR UNID]]</f>
        <v>0</v>
      </c>
      <c r="Q73" s="15" t="e">
        <f>#REF!</f>
        <v>#REF!</v>
      </c>
      <c r="R73" s="15" t="e">
        <f>#REF!</f>
        <v>#REF!</v>
      </c>
    </row>
    <row r="74" spans="1:18" s="8" customFormat="1" ht="33.75" x14ac:dyDescent="0.25">
      <c r="A74" s="22" t="s">
        <v>196</v>
      </c>
      <c r="B74" s="21" t="s">
        <v>5</v>
      </c>
      <c r="C74" s="21" t="s">
        <v>197</v>
      </c>
      <c r="D74" s="21" t="s">
        <v>1154</v>
      </c>
      <c r="E74" s="22" t="s">
        <v>198</v>
      </c>
      <c r="F74" s="21" t="s">
        <v>199</v>
      </c>
      <c r="G74" s="22">
        <v>25</v>
      </c>
      <c r="H74" s="235"/>
      <c r="I74" s="236">
        <f>Medicam_Nun_e_Gomes[[#This Row],[VALOR UNID]]*Medicam_Dados[[#This Row],[QUANT]]</f>
        <v>0</v>
      </c>
      <c r="J74" s="236">
        <f>Medicam_Nun_e_Gomes[[#This Row],[VALOR MÊS ]]*12</f>
        <v>0</v>
      </c>
      <c r="M74" s="15"/>
      <c r="P74" s="15">
        <f>Medicam_Nun_e_Gomes[[#This Row],[VALOR UNID]]</f>
        <v>0</v>
      </c>
      <c r="Q74" s="15" t="e">
        <f>#REF!</f>
        <v>#REF!</v>
      </c>
      <c r="R74" s="15" t="e">
        <f>#REF!</f>
        <v>#REF!</v>
      </c>
    </row>
    <row r="75" spans="1:18" s="8" customFormat="1" ht="33.75" x14ac:dyDescent="0.25">
      <c r="A75" s="22" t="s">
        <v>200</v>
      </c>
      <c r="B75" s="21" t="s">
        <v>5</v>
      </c>
      <c r="C75" s="21" t="s">
        <v>197</v>
      </c>
      <c r="D75" s="21" t="s">
        <v>1295</v>
      </c>
      <c r="E75" s="22" t="s">
        <v>201</v>
      </c>
      <c r="F75" s="21" t="s">
        <v>11</v>
      </c>
      <c r="G75" s="22">
        <v>500</v>
      </c>
      <c r="H75" s="170"/>
      <c r="I75" s="15">
        <f>Medicam_Nun_e_Gomes[[#This Row],[VALOR UNID]]/6*(Medicam_Dados[[#This Row],[QUANT]])</f>
        <v>0</v>
      </c>
      <c r="J75" s="15">
        <f>Medicam_Nun_e_Gomes[[#This Row],[VALOR MÊS ]]*12</f>
        <v>0</v>
      </c>
      <c r="M75" s="15"/>
      <c r="P75" s="15">
        <f>Medicam_Nun_e_Gomes[[#This Row],[VALOR UNID]]</f>
        <v>0</v>
      </c>
      <c r="Q75" s="15" t="e">
        <f>#REF!</f>
        <v>#REF!</v>
      </c>
      <c r="R75" s="15" t="e">
        <f>#REF!</f>
        <v>#REF!</v>
      </c>
    </row>
    <row r="76" spans="1:18" s="8" customFormat="1" ht="33.75" x14ac:dyDescent="0.25">
      <c r="A76" s="22" t="s">
        <v>202</v>
      </c>
      <c r="B76" s="21" t="s">
        <v>5</v>
      </c>
      <c r="C76" s="21" t="s">
        <v>203</v>
      </c>
      <c r="D76" s="21"/>
      <c r="E76" s="22" t="s">
        <v>194</v>
      </c>
      <c r="F76" s="21" t="s">
        <v>40</v>
      </c>
      <c r="G76" s="22">
        <v>32</v>
      </c>
      <c r="H76" s="235"/>
      <c r="I76" s="236">
        <f>Medicam_Nun_e_Gomes[[#This Row],[VALOR UNID]]*Medicam_Dados[[#This Row],[QUANT]]</f>
        <v>0</v>
      </c>
      <c r="J76" s="236">
        <f>Medicam_Nun_e_Gomes[[#This Row],[VALOR MÊS ]]*12</f>
        <v>0</v>
      </c>
      <c r="M76" s="15"/>
      <c r="P76" s="15">
        <f>Medicam_Nun_e_Gomes[[#This Row],[VALOR UNID]]</f>
        <v>0</v>
      </c>
      <c r="Q76" s="15" t="e">
        <f>#REF!</f>
        <v>#REF!</v>
      </c>
      <c r="R76" s="15" t="e">
        <f>#REF!</f>
        <v>#REF!</v>
      </c>
    </row>
    <row r="77" spans="1:18" s="8" customFormat="1" ht="33.75" x14ac:dyDescent="0.25">
      <c r="A77" s="22" t="s">
        <v>204</v>
      </c>
      <c r="B77" s="21" t="s">
        <v>5</v>
      </c>
      <c r="C77" s="21" t="s">
        <v>205</v>
      </c>
      <c r="D77" s="21" t="s">
        <v>1279</v>
      </c>
      <c r="E77" s="22" t="s">
        <v>93</v>
      </c>
      <c r="F77" s="21" t="s">
        <v>8</v>
      </c>
      <c r="G77" s="22">
        <v>1000</v>
      </c>
      <c r="H77" s="170"/>
      <c r="I77" s="15">
        <f>Medicam_Nun_e_Gomes[[#This Row],[VALOR UNID]]*Medicam_Dados[[#This Row],[QUANT]]</f>
        <v>0</v>
      </c>
      <c r="J77" s="15">
        <f>Medicam_Nun_e_Gomes[[#This Row],[VALOR MÊS ]]*12</f>
        <v>0</v>
      </c>
      <c r="M77" s="15"/>
      <c r="P77" s="15">
        <f>Medicam_Nun_e_Gomes[[#This Row],[VALOR UNID]]</f>
        <v>0</v>
      </c>
      <c r="Q77" s="15" t="e">
        <f>#REF!</f>
        <v>#REF!</v>
      </c>
      <c r="R77" s="15" t="e">
        <f>#REF!</f>
        <v>#REF!</v>
      </c>
    </row>
    <row r="78" spans="1:18" s="8" customFormat="1" ht="33.75" x14ac:dyDescent="0.25">
      <c r="A78" s="22" t="s">
        <v>206</v>
      </c>
      <c r="B78" s="21" t="s">
        <v>5</v>
      </c>
      <c r="C78" s="21" t="s">
        <v>207</v>
      </c>
      <c r="D78" s="21" t="s">
        <v>1155</v>
      </c>
      <c r="E78" s="22" t="s">
        <v>104</v>
      </c>
      <c r="F78" s="21" t="s">
        <v>8</v>
      </c>
      <c r="G78" s="22">
        <v>2500</v>
      </c>
      <c r="H78" s="235"/>
      <c r="I78" s="236">
        <f>Medicam_Nun_e_Gomes[[#This Row],[VALOR UNID]]*Medicam_Dados[[#This Row],[QUANT]]</f>
        <v>0</v>
      </c>
      <c r="J78" s="236">
        <f>Medicam_Nun_e_Gomes[[#This Row],[VALOR MÊS ]]*12</f>
        <v>0</v>
      </c>
      <c r="M78" s="15"/>
      <c r="P78" s="15">
        <f>Medicam_Nun_e_Gomes[[#This Row],[VALOR UNID]]</f>
        <v>0</v>
      </c>
      <c r="Q78" s="15" t="e">
        <f>#REF!</f>
        <v>#REF!</v>
      </c>
      <c r="R78" s="15" t="e">
        <f>#REF!</f>
        <v>#REF!</v>
      </c>
    </row>
    <row r="79" spans="1:18" s="8" customFormat="1" ht="33.75" x14ac:dyDescent="0.25">
      <c r="A79" s="22" t="s">
        <v>208</v>
      </c>
      <c r="B79" s="21" t="s">
        <v>5</v>
      </c>
      <c r="C79" s="21" t="s">
        <v>209</v>
      </c>
      <c r="D79" s="21" t="s">
        <v>1296</v>
      </c>
      <c r="E79" s="22" t="s">
        <v>104</v>
      </c>
      <c r="F79" s="21" t="s">
        <v>40</v>
      </c>
      <c r="G79" s="22">
        <v>30</v>
      </c>
      <c r="H79" s="170"/>
      <c r="I79" s="15">
        <f>Medicam_Nun_e_Gomes[[#This Row],[VALOR UNID]]*Medicam_Dados[[#This Row],[QUANT]]</f>
        <v>0</v>
      </c>
      <c r="J79" s="15">
        <f>Medicam_Nun_e_Gomes[[#This Row],[VALOR MÊS ]]*12</f>
        <v>0</v>
      </c>
      <c r="M79" s="15"/>
      <c r="P79" s="15">
        <f>Medicam_Nun_e_Gomes[[#This Row],[VALOR UNID]]</f>
        <v>0</v>
      </c>
      <c r="Q79" s="15" t="e">
        <f>#REF!</f>
        <v>#REF!</v>
      </c>
      <c r="R79" s="15" t="e">
        <f>#REF!</f>
        <v>#REF!</v>
      </c>
    </row>
    <row r="80" spans="1:18" s="8" customFormat="1" ht="33.75" x14ac:dyDescent="0.25">
      <c r="A80" s="22" t="s">
        <v>210</v>
      </c>
      <c r="B80" s="21" t="s">
        <v>5</v>
      </c>
      <c r="C80" s="21" t="s">
        <v>207</v>
      </c>
      <c r="D80" s="21" t="s">
        <v>1156</v>
      </c>
      <c r="E80" s="22" t="s">
        <v>211</v>
      </c>
      <c r="F80" s="21" t="s">
        <v>8</v>
      </c>
      <c r="G80" s="22">
        <v>375</v>
      </c>
      <c r="H80" s="235"/>
      <c r="I80" s="236">
        <f>Medicam_Nun_e_Gomes[[#This Row],[VALOR UNID]]*Medicam_Dados[[#This Row],[QUANT]]</f>
        <v>0</v>
      </c>
      <c r="J80" s="236">
        <f>Medicam_Nun_e_Gomes[[#This Row],[VALOR MÊS ]]*12</f>
        <v>0</v>
      </c>
      <c r="M80" s="15"/>
      <c r="P80" s="15">
        <f>Medicam_Nun_e_Gomes[[#This Row],[VALOR UNID]]</f>
        <v>0</v>
      </c>
      <c r="Q80" s="15" t="e">
        <f>#REF!</f>
        <v>#REF!</v>
      </c>
      <c r="R80" s="15" t="e">
        <f>#REF!</f>
        <v>#REF!</v>
      </c>
    </row>
    <row r="81" spans="1:18" s="8" customFormat="1" ht="33.75" x14ac:dyDescent="0.25">
      <c r="A81" s="22" t="s">
        <v>212</v>
      </c>
      <c r="B81" s="21" t="s">
        <v>5</v>
      </c>
      <c r="C81" s="21" t="s">
        <v>213</v>
      </c>
      <c r="D81" s="21" t="s">
        <v>1280</v>
      </c>
      <c r="E81" s="22" t="s">
        <v>214</v>
      </c>
      <c r="F81" s="21" t="s">
        <v>215</v>
      </c>
      <c r="G81" s="22">
        <v>159</v>
      </c>
      <c r="H81" s="170"/>
      <c r="I81" s="15">
        <f>Medicam_Nun_e_Gomes[[#This Row],[VALOR UNID]]/6*(Medicam_Dados[[#This Row],[QUANT]])</f>
        <v>0</v>
      </c>
      <c r="J81" s="15">
        <f>Medicam_Nun_e_Gomes[[#This Row],[VALOR MÊS ]]*12</f>
        <v>0</v>
      </c>
      <c r="M81" s="15"/>
      <c r="P81" s="15">
        <f>Medicam_Nun_e_Gomes[[#This Row],[VALOR UNID]]</f>
        <v>0</v>
      </c>
      <c r="Q81" s="15" t="e">
        <f>#REF!</f>
        <v>#REF!</v>
      </c>
      <c r="R81" s="15" t="e">
        <f>#REF!</f>
        <v>#REF!</v>
      </c>
    </row>
    <row r="82" spans="1:18" s="8" customFormat="1" ht="33.75" x14ac:dyDescent="0.25">
      <c r="A82" s="22" t="s">
        <v>216</v>
      </c>
      <c r="B82" s="21" t="s">
        <v>5</v>
      </c>
      <c r="C82" s="21" t="s">
        <v>217</v>
      </c>
      <c r="D82" s="21" t="s">
        <v>1281</v>
      </c>
      <c r="E82" s="22" t="s">
        <v>218</v>
      </c>
      <c r="F82" s="21" t="s">
        <v>40</v>
      </c>
      <c r="G82" s="22">
        <v>529</v>
      </c>
      <c r="H82" s="235"/>
      <c r="I82" s="236">
        <f>Medicam_Nun_e_Gomes[[#This Row],[VALOR UNID]]*Medicam_Dados[[#This Row],[QUANT]]</f>
        <v>0</v>
      </c>
      <c r="J82" s="236">
        <f>Medicam_Nun_e_Gomes[[#This Row],[VALOR MÊS ]]*12</f>
        <v>0</v>
      </c>
      <c r="M82" s="15"/>
      <c r="P82" s="15">
        <f>Medicam_Nun_e_Gomes[[#This Row],[VALOR UNID]]</f>
        <v>0</v>
      </c>
      <c r="Q82" s="15" t="e">
        <f>#REF!</f>
        <v>#REF!</v>
      </c>
      <c r="R82" s="15" t="e">
        <f>#REF!</f>
        <v>#REF!</v>
      </c>
    </row>
    <row r="83" spans="1:18" s="8" customFormat="1" ht="33.75" x14ac:dyDescent="0.25">
      <c r="A83" s="22" t="s">
        <v>219</v>
      </c>
      <c r="B83" s="21" t="s">
        <v>5</v>
      </c>
      <c r="C83" s="21" t="s">
        <v>217</v>
      </c>
      <c r="D83" s="21" t="s">
        <v>1282</v>
      </c>
      <c r="E83" s="22" t="s">
        <v>69</v>
      </c>
      <c r="F83" s="21" t="s">
        <v>8</v>
      </c>
      <c r="G83" s="22">
        <v>15000</v>
      </c>
      <c r="H83" s="170"/>
      <c r="I83" s="15">
        <f>Medicam_Nun_e_Gomes[[#This Row],[VALOR UNID]]*Medicam_Dados[[#This Row],[QUANT]]</f>
        <v>0</v>
      </c>
      <c r="J83" s="15">
        <f>Medicam_Nun_e_Gomes[[#This Row],[VALOR MÊS ]]*12</f>
        <v>0</v>
      </c>
      <c r="M83" s="15"/>
      <c r="P83" s="15">
        <f>Medicam_Nun_e_Gomes[[#This Row],[VALOR UNID]]</f>
        <v>0</v>
      </c>
      <c r="Q83" s="15" t="e">
        <f>#REF!</f>
        <v>#REF!</v>
      </c>
      <c r="R83" s="15" t="e">
        <f>#REF!</f>
        <v>#REF!</v>
      </c>
    </row>
    <row r="84" spans="1:18" s="8" customFormat="1" ht="33.75" x14ac:dyDescent="0.25">
      <c r="A84" s="22" t="s">
        <v>220</v>
      </c>
      <c r="B84" s="21" t="s">
        <v>5</v>
      </c>
      <c r="C84" s="21" t="s">
        <v>221</v>
      </c>
      <c r="D84" s="21" t="s">
        <v>1157</v>
      </c>
      <c r="E84" s="22" t="s">
        <v>222</v>
      </c>
      <c r="F84" s="21" t="s">
        <v>8</v>
      </c>
      <c r="G84" s="22">
        <v>264</v>
      </c>
      <c r="H84" s="235"/>
      <c r="I84" s="236">
        <f>Medicam_Nun_e_Gomes[[#This Row],[VALOR UNID]]*Medicam_Dados[[#This Row],[QUANT]]</f>
        <v>0</v>
      </c>
      <c r="J84" s="236">
        <f>Medicam_Nun_e_Gomes[[#This Row],[VALOR MÊS ]]*12</f>
        <v>0</v>
      </c>
      <c r="M84" s="15"/>
      <c r="P84" s="15">
        <f>Medicam_Nun_e_Gomes[[#This Row],[VALOR UNID]]</f>
        <v>0</v>
      </c>
      <c r="Q84" s="15" t="e">
        <f>#REF!</f>
        <v>#REF!</v>
      </c>
      <c r="R84" s="15" t="e">
        <f>#REF!</f>
        <v>#REF!</v>
      </c>
    </row>
    <row r="85" spans="1:18" s="8" customFormat="1" ht="33.75" x14ac:dyDescent="0.25">
      <c r="A85" s="22" t="s">
        <v>223</v>
      </c>
      <c r="B85" s="21" t="s">
        <v>5</v>
      </c>
      <c r="C85" s="21" t="s">
        <v>224</v>
      </c>
      <c r="D85" s="21"/>
      <c r="E85" s="22" t="s">
        <v>225</v>
      </c>
      <c r="F85" s="21" t="s">
        <v>40</v>
      </c>
      <c r="G85" s="22">
        <v>15</v>
      </c>
      <c r="H85" s="170"/>
      <c r="I85" s="15">
        <f>Medicam_Nun_e_Gomes[[#This Row],[VALOR UNID]]*Medicam_Dados[[#This Row],[QUANT]]</f>
        <v>0</v>
      </c>
      <c r="J85" s="15">
        <f>Medicam_Nun_e_Gomes[[#This Row],[VALOR MÊS ]]*12</f>
        <v>0</v>
      </c>
      <c r="M85" s="15"/>
      <c r="P85" s="15">
        <f>Medicam_Nun_e_Gomes[[#This Row],[VALOR UNID]]</f>
        <v>0</v>
      </c>
      <c r="Q85" s="15" t="e">
        <f>#REF!</f>
        <v>#REF!</v>
      </c>
      <c r="R85" s="15" t="e">
        <f>#REF!</f>
        <v>#REF!</v>
      </c>
    </row>
    <row r="86" spans="1:18" s="8" customFormat="1" ht="33.75" x14ac:dyDescent="0.25">
      <c r="A86" s="22" t="s">
        <v>226</v>
      </c>
      <c r="B86" s="21" t="s">
        <v>5</v>
      </c>
      <c r="C86" s="21" t="s">
        <v>227</v>
      </c>
      <c r="D86" s="21" t="s">
        <v>1158</v>
      </c>
      <c r="E86" s="22" t="s">
        <v>228</v>
      </c>
      <c r="F86" s="21" t="s">
        <v>8</v>
      </c>
      <c r="G86" s="22">
        <v>264</v>
      </c>
      <c r="H86" s="235"/>
      <c r="I86" s="236">
        <f>Medicam_Nun_e_Gomes[[#This Row],[VALOR UNID]]*Medicam_Dados[[#This Row],[QUANT]]</f>
        <v>0</v>
      </c>
      <c r="J86" s="236">
        <f>Medicam_Nun_e_Gomes[[#This Row],[VALOR MÊS ]]*12</f>
        <v>0</v>
      </c>
      <c r="M86" s="15"/>
      <c r="P86" s="15">
        <f>Medicam_Nun_e_Gomes[[#This Row],[VALOR UNID]]</f>
        <v>0</v>
      </c>
      <c r="Q86" s="15" t="e">
        <f>#REF!</f>
        <v>#REF!</v>
      </c>
      <c r="R86" s="15" t="e">
        <f>#REF!</f>
        <v>#REF!</v>
      </c>
    </row>
    <row r="87" spans="1:18" s="8" customFormat="1" ht="33.75" x14ac:dyDescent="0.25">
      <c r="A87" s="22" t="s">
        <v>229</v>
      </c>
      <c r="B87" s="21" t="s">
        <v>5</v>
      </c>
      <c r="C87" s="21" t="s">
        <v>230</v>
      </c>
      <c r="D87" s="21" t="s">
        <v>1159</v>
      </c>
      <c r="E87" s="22" t="s">
        <v>51</v>
      </c>
      <c r="F87" s="21" t="s">
        <v>8</v>
      </c>
      <c r="G87" s="22">
        <v>17500</v>
      </c>
      <c r="H87" s="170"/>
      <c r="I87" s="15">
        <f>Medicam_Nun_e_Gomes[[#This Row],[VALOR UNID]]/6*(Medicam_Dados[[#This Row],[QUANT]])</f>
        <v>0</v>
      </c>
      <c r="J87" s="15">
        <f>Medicam_Nun_e_Gomes[[#This Row],[VALOR MÊS ]]*12</f>
        <v>0</v>
      </c>
      <c r="M87" s="15"/>
      <c r="P87" s="15">
        <f>Medicam_Nun_e_Gomes[[#This Row],[VALOR UNID]]</f>
        <v>0</v>
      </c>
      <c r="Q87" s="15" t="e">
        <f>#REF!</f>
        <v>#REF!</v>
      </c>
      <c r="R87" s="15" t="e">
        <f>#REF!</f>
        <v>#REF!</v>
      </c>
    </row>
    <row r="88" spans="1:18" s="8" customFormat="1" ht="33.75" x14ac:dyDescent="0.25">
      <c r="A88" s="22" t="s">
        <v>231</v>
      </c>
      <c r="B88" s="21" t="s">
        <v>5</v>
      </c>
      <c r="C88" s="21" t="s">
        <v>232</v>
      </c>
      <c r="D88" s="21" t="s">
        <v>1283</v>
      </c>
      <c r="E88" s="22" t="s">
        <v>233</v>
      </c>
      <c r="F88" s="21" t="s">
        <v>102</v>
      </c>
      <c r="G88" s="22">
        <v>150</v>
      </c>
      <c r="H88" s="235"/>
      <c r="I88" s="236">
        <f>Medicam_Nun_e_Gomes[[#This Row],[VALOR UNID]]*Medicam_Dados[[#This Row],[QUANT]]</f>
        <v>0</v>
      </c>
      <c r="J88" s="236">
        <f>Medicam_Nun_e_Gomes[[#This Row],[VALOR MÊS ]]*12</f>
        <v>0</v>
      </c>
      <c r="M88" s="15"/>
      <c r="P88" s="15">
        <f>Medicam_Nun_e_Gomes[[#This Row],[VALOR UNID]]</f>
        <v>0</v>
      </c>
      <c r="Q88" s="15" t="e">
        <f>#REF!</f>
        <v>#REF!</v>
      </c>
      <c r="R88" s="15" t="e">
        <f>#REF!</f>
        <v>#REF!</v>
      </c>
    </row>
    <row r="89" spans="1:18" s="8" customFormat="1" ht="33.75" x14ac:dyDescent="0.25">
      <c r="A89" s="22" t="s">
        <v>234</v>
      </c>
      <c r="B89" s="21" t="s">
        <v>5</v>
      </c>
      <c r="C89" s="21" t="s">
        <v>1336</v>
      </c>
      <c r="D89" s="21" t="s">
        <v>1284</v>
      </c>
      <c r="E89" s="22" t="s">
        <v>233</v>
      </c>
      <c r="F89" s="21" t="s">
        <v>40</v>
      </c>
      <c r="G89" s="22">
        <v>1250</v>
      </c>
      <c r="H89" s="170"/>
      <c r="I89" s="15">
        <f>Medicam_Nun_e_Gomes[[#This Row],[VALOR UNID]]*Medicam_Dados[[#This Row],[QUANT]]</f>
        <v>0</v>
      </c>
      <c r="J89" s="15">
        <f>Medicam_Nun_e_Gomes[[#This Row],[VALOR MÊS ]]*12</f>
        <v>0</v>
      </c>
      <c r="M89" s="15"/>
      <c r="P89" s="15">
        <f>Medicam_Nun_e_Gomes[[#This Row],[VALOR UNID]]</f>
        <v>0</v>
      </c>
      <c r="Q89" s="15" t="e">
        <f>#REF!</f>
        <v>#REF!</v>
      </c>
      <c r="R89" s="15" t="e">
        <f>#REF!</f>
        <v>#REF!</v>
      </c>
    </row>
    <row r="90" spans="1:18" s="8" customFormat="1" ht="22.5" customHeight="1" x14ac:dyDescent="0.25">
      <c r="A90" s="22" t="s">
        <v>235</v>
      </c>
      <c r="B90" s="21" t="s">
        <v>5</v>
      </c>
      <c r="C90" s="21" t="s">
        <v>236</v>
      </c>
      <c r="D90" s="21" t="s">
        <v>1160</v>
      </c>
      <c r="E90" s="22" t="s">
        <v>237</v>
      </c>
      <c r="F90" s="21" t="s">
        <v>238</v>
      </c>
      <c r="G90" s="22">
        <v>15</v>
      </c>
      <c r="H90" s="235"/>
      <c r="I90" s="236">
        <f>Medicam_Nun_e_Gomes[[#This Row],[VALOR UNID]]*Medicam_Dados[[#This Row],[QUANT]]</f>
        <v>0</v>
      </c>
      <c r="J90" s="236">
        <f>Medicam_Nun_e_Gomes[[#This Row],[VALOR MÊS ]]*12</f>
        <v>0</v>
      </c>
      <c r="M90" s="15"/>
      <c r="P90" s="15">
        <f>Medicam_Nun_e_Gomes[[#This Row],[VALOR UNID]]</f>
        <v>0</v>
      </c>
      <c r="Q90" s="15" t="e">
        <f>#REF!</f>
        <v>#REF!</v>
      </c>
      <c r="R90" s="15" t="e">
        <f>#REF!</f>
        <v>#REF!</v>
      </c>
    </row>
    <row r="91" spans="1:18" s="8" customFormat="1" ht="33.75" x14ac:dyDescent="0.25">
      <c r="A91" s="22" t="s">
        <v>239</v>
      </c>
      <c r="B91" s="21" t="s">
        <v>5</v>
      </c>
      <c r="C91" s="21" t="s">
        <v>240</v>
      </c>
      <c r="D91" s="21" t="s">
        <v>1161</v>
      </c>
      <c r="E91" s="22" t="s">
        <v>64</v>
      </c>
      <c r="F91" s="21" t="s">
        <v>8</v>
      </c>
      <c r="G91" s="22">
        <v>250</v>
      </c>
      <c r="H91" s="170"/>
      <c r="I91" s="15">
        <f>Medicam_Nun_e_Gomes[[#This Row],[VALOR UNID]]*Medicam_Dados[[#This Row],[QUANT]]</f>
        <v>0</v>
      </c>
      <c r="J91" s="15">
        <f>Medicam_Nun_e_Gomes[[#This Row],[VALOR MÊS ]]*12</f>
        <v>0</v>
      </c>
      <c r="M91" s="15"/>
      <c r="P91" s="15">
        <f>Medicam_Nun_e_Gomes[[#This Row],[VALOR UNID]]</f>
        <v>0</v>
      </c>
      <c r="Q91" s="15" t="e">
        <f>#REF!</f>
        <v>#REF!</v>
      </c>
      <c r="R91" s="15" t="e">
        <f>#REF!</f>
        <v>#REF!</v>
      </c>
    </row>
    <row r="92" spans="1:18" s="8" customFormat="1" ht="33.75" x14ac:dyDescent="0.25">
      <c r="A92" s="22" t="s">
        <v>242</v>
      </c>
      <c r="B92" s="21" t="s">
        <v>5</v>
      </c>
      <c r="C92" s="21" t="s">
        <v>243</v>
      </c>
      <c r="D92" s="21" t="s">
        <v>1285</v>
      </c>
      <c r="E92" s="22" t="s">
        <v>45</v>
      </c>
      <c r="F92" s="21" t="s">
        <v>40</v>
      </c>
      <c r="G92" s="22">
        <v>30</v>
      </c>
      <c r="H92" s="235"/>
      <c r="I92" s="236">
        <f>Medicam_Nun_e_Gomes[[#This Row],[VALOR UNID]]*Medicam_Dados[[#This Row],[QUANT]]</f>
        <v>0</v>
      </c>
      <c r="J92" s="236">
        <f>Medicam_Nun_e_Gomes[[#This Row],[VALOR MÊS ]]*12</f>
        <v>0</v>
      </c>
      <c r="M92" s="15"/>
      <c r="P92" s="15">
        <f>Medicam_Nun_e_Gomes[[#This Row],[VALOR UNID]]</f>
        <v>0</v>
      </c>
      <c r="Q92" s="15" t="e">
        <f>#REF!</f>
        <v>#REF!</v>
      </c>
      <c r="R92" s="15" t="e">
        <f>#REF!</f>
        <v>#REF!</v>
      </c>
    </row>
    <row r="93" spans="1:18" s="8" customFormat="1" ht="33.75" x14ac:dyDescent="0.25">
      <c r="A93" s="22" t="s">
        <v>244</v>
      </c>
      <c r="B93" s="21" t="s">
        <v>5</v>
      </c>
      <c r="C93" s="21" t="s">
        <v>245</v>
      </c>
      <c r="D93" s="21" t="s">
        <v>1286</v>
      </c>
      <c r="E93" s="22" t="s">
        <v>104</v>
      </c>
      <c r="F93" s="21" t="s">
        <v>8</v>
      </c>
      <c r="G93" s="22">
        <v>2500</v>
      </c>
      <c r="H93" s="170"/>
      <c r="I93" s="15">
        <f>Medicam_Nun_e_Gomes[[#This Row],[VALOR UNID]]*Medicam_Dados[[#This Row],[QUANT]]</f>
        <v>0</v>
      </c>
      <c r="J93" s="15">
        <f>Medicam_Nun_e_Gomes[[#This Row],[VALOR MÊS ]]*12</f>
        <v>0</v>
      </c>
      <c r="M93" s="15"/>
      <c r="P93" s="15">
        <f>Medicam_Nun_e_Gomes[[#This Row],[VALOR UNID]]</f>
        <v>0</v>
      </c>
      <c r="Q93" s="15" t="e">
        <f>#REF!</f>
        <v>#REF!</v>
      </c>
      <c r="R93" s="15" t="e">
        <f>#REF!</f>
        <v>#REF!</v>
      </c>
    </row>
    <row r="94" spans="1:18" s="8" customFormat="1" ht="33.75" x14ac:dyDescent="0.25">
      <c r="A94" s="22" t="s">
        <v>246</v>
      </c>
      <c r="B94" s="21" t="s">
        <v>5</v>
      </c>
      <c r="C94" s="21" t="s">
        <v>247</v>
      </c>
      <c r="D94" s="21" t="s">
        <v>1287</v>
      </c>
      <c r="E94" s="22" t="s">
        <v>237</v>
      </c>
      <c r="F94" s="21" t="s">
        <v>40</v>
      </c>
      <c r="G94" s="22">
        <v>225</v>
      </c>
      <c r="H94" s="235"/>
      <c r="I94" s="236">
        <f>Medicam_Nun_e_Gomes[[#This Row],[VALOR UNID]]/6*(Medicam_Dados[[#This Row],[QUANT]])</f>
        <v>0</v>
      </c>
      <c r="J94" s="236">
        <f>Medicam_Nun_e_Gomes[[#This Row],[VALOR MÊS ]]*12</f>
        <v>0</v>
      </c>
      <c r="M94" s="15"/>
      <c r="P94" s="15">
        <f>Medicam_Nun_e_Gomes[[#This Row],[VALOR UNID]]</f>
        <v>0</v>
      </c>
      <c r="Q94" s="15" t="e">
        <f>#REF!</f>
        <v>#REF!</v>
      </c>
      <c r="R94" s="15" t="e">
        <f>#REF!</f>
        <v>#REF!</v>
      </c>
    </row>
    <row r="95" spans="1:18" s="8" customFormat="1" ht="22.5" customHeight="1" x14ac:dyDescent="0.25">
      <c r="A95" s="22" t="s">
        <v>248</v>
      </c>
      <c r="B95" s="21" t="s">
        <v>5</v>
      </c>
      <c r="C95" s="21" t="s">
        <v>249</v>
      </c>
      <c r="D95" s="21"/>
      <c r="E95" s="22" t="s">
        <v>51</v>
      </c>
      <c r="F95" s="21" t="s">
        <v>8</v>
      </c>
      <c r="G95" s="22">
        <v>26</v>
      </c>
      <c r="H95" s="170"/>
      <c r="I95" s="15">
        <f>Medicam_Nun_e_Gomes[[#This Row],[VALOR UNID]]/6*(Medicam_Dados[[#This Row],[QUANT]])</f>
        <v>0</v>
      </c>
      <c r="J95" s="15">
        <f>Medicam_Nun_e_Gomes[[#This Row],[VALOR MÊS ]]*12</f>
        <v>0</v>
      </c>
      <c r="M95" s="15"/>
      <c r="P95" s="15">
        <f>Medicam_Nun_e_Gomes[[#This Row],[VALOR UNID]]</f>
        <v>0</v>
      </c>
      <c r="Q95" s="15" t="e">
        <f>#REF!</f>
        <v>#REF!</v>
      </c>
      <c r="R95" s="15" t="e">
        <f>#REF!</f>
        <v>#REF!</v>
      </c>
    </row>
    <row r="96" spans="1:18" s="8" customFormat="1" ht="33.75" x14ac:dyDescent="0.25">
      <c r="A96" s="22" t="s">
        <v>250</v>
      </c>
      <c r="B96" s="21" t="s">
        <v>5</v>
      </c>
      <c r="C96" s="21" t="s">
        <v>251</v>
      </c>
      <c r="D96" s="21" t="s">
        <v>1288</v>
      </c>
      <c r="E96" s="22" t="s">
        <v>252</v>
      </c>
      <c r="F96" s="21" t="s">
        <v>40</v>
      </c>
      <c r="G96" s="22">
        <v>350</v>
      </c>
      <c r="H96" s="235"/>
      <c r="I96" s="236">
        <f>Medicam_Nun_e_Gomes[[#This Row],[VALOR UNID]]*Medicam_Dados[[#This Row],[QUANT]]</f>
        <v>0</v>
      </c>
      <c r="J96" s="236">
        <f>Medicam_Nun_e_Gomes[[#This Row],[VALOR MÊS ]]*12</f>
        <v>0</v>
      </c>
      <c r="M96" s="15"/>
      <c r="P96" s="15">
        <f>Medicam_Nun_e_Gomes[[#This Row],[VALOR UNID]]</f>
        <v>0</v>
      </c>
      <c r="Q96" s="15" t="e">
        <f>#REF!</f>
        <v>#REF!</v>
      </c>
      <c r="R96" s="15" t="e">
        <f>#REF!</f>
        <v>#REF!</v>
      </c>
    </row>
    <row r="97" spans="1:18" s="8" customFormat="1" ht="33.75" x14ac:dyDescent="0.25">
      <c r="A97" s="22" t="s">
        <v>253</v>
      </c>
      <c r="B97" s="21" t="s">
        <v>5</v>
      </c>
      <c r="C97" s="21" t="s">
        <v>254</v>
      </c>
      <c r="D97" s="21" t="s">
        <v>1289</v>
      </c>
      <c r="E97" s="22" t="s">
        <v>104</v>
      </c>
      <c r="F97" s="21" t="s">
        <v>8</v>
      </c>
      <c r="G97" s="22">
        <v>793</v>
      </c>
      <c r="H97" s="170"/>
      <c r="I97" s="15">
        <f>Medicam_Nun_e_Gomes[[#This Row],[VALOR UNID]]/6*(Medicam_Dados[[#This Row],[QUANT]])</f>
        <v>0</v>
      </c>
      <c r="J97" s="15">
        <f>Medicam_Nun_e_Gomes[[#This Row],[VALOR MÊS ]]*12</f>
        <v>0</v>
      </c>
      <c r="M97" s="15"/>
      <c r="P97" s="15">
        <f>Medicam_Nun_e_Gomes[[#This Row],[VALOR UNID]]</f>
        <v>0</v>
      </c>
      <c r="Q97" s="15" t="e">
        <f>#REF!</f>
        <v>#REF!</v>
      </c>
      <c r="R97" s="15" t="e">
        <f>#REF!</f>
        <v>#REF!</v>
      </c>
    </row>
    <row r="98" spans="1:18" s="8" customFormat="1" ht="33.75" x14ac:dyDescent="0.25">
      <c r="A98" s="22" t="s">
        <v>255</v>
      </c>
      <c r="B98" s="21" t="s">
        <v>5</v>
      </c>
      <c r="C98" s="21" t="s">
        <v>256</v>
      </c>
      <c r="D98" s="21"/>
      <c r="E98" s="22" t="s">
        <v>48</v>
      </c>
      <c r="F98" s="21" t="s">
        <v>8</v>
      </c>
      <c r="G98" s="22">
        <v>264</v>
      </c>
      <c r="H98" s="235"/>
      <c r="I98" s="236">
        <f>Medicam_Nun_e_Gomes[[#This Row],[VALOR UNID]]*Medicam_Dados[[#This Row],[QUANT]]</f>
        <v>0</v>
      </c>
      <c r="J98" s="236">
        <f>Medicam_Nun_e_Gomes[[#This Row],[VALOR MÊS ]]*12</f>
        <v>0</v>
      </c>
      <c r="M98" s="15"/>
      <c r="P98" s="15">
        <f>Medicam_Nun_e_Gomes[[#This Row],[VALOR UNID]]</f>
        <v>0</v>
      </c>
      <c r="Q98" s="15" t="e">
        <f>#REF!</f>
        <v>#REF!</v>
      </c>
      <c r="R98" s="15" t="e">
        <f>#REF!</f>
        <v>#REF!</v>
      </c>
    </row>
    <row r="99" spans="1:18" s="8" customFormat="1" ht="22.5" customHeight="1" x14ac:dyDescent="0.25">
      <c r="A99" s="22" t="s">
        <v>257</v>
      </c>
      <c r="B99" s="21" t="s">
        <v>5</v>
      </c>
      <c r="C99" s="21" t="s">
        <v>258</v>
      </c>
      <c r="D99" s="21" t="s">
        <v>1162</v>
      </c>
      <c r="E99" s="22" t="s">
        <v>1241</v>
      </c>
      <c r="F99" s="21" t="s">
        <v>8</v>
      </c>
      <c r="G99" s="22">
        <v>500</v>
      </c>
      <c r="H99" s="170"/>
      <c r="I99" s="15">
        <f>Medicam_Nun_e_Gomes[[#This Row],[VALOR UNID]]*Medicam_Dados[[#This Row],[QUANT]]</f>
        <v>0</v>
      </c>
      <c r="J99" s="15">
        <f>Medicam_Nun_e_Gomes[[#This Row],[VALOR MÊS ]]*12</f>
        <v>0</v>
      </c>
      <c r="M99" s="15"/>
      <c r="P99" s="15">
        <f>Medicam_Nun_e_Gomes[[#This Row],[VALOR UNID]]</f>
        <v>0</v>
      </c>
      <c r="Q99" s="15" t="e">
        <f>#REF!</f>
        <v>#REF!</v>
      </c>
      <c r="R99" s="15" t="e">
        <f>#REF!</f>
        <v>#REF!</v>
      </c>
    </row>
    <row r="100" spans="1:18" s="8" customFormat="1" ht="33.75" x14ac:dyDescent="0.25">
      <c r="A100" s="22" t="s">
        <v>259</v>
      </c>
      <c r="B100" s="21" t="s">
        <v>5</v>
      </c>
      <c r="C100" s="21" t="s">
        <v>1337</v>
      </c>
      <c r="D100" s="21" t="s">
        <v>1163</v>
      </c>
      <c r="E100" s="22" t="s">
        <v>14</v>
      </c>
      <c r="F100" s="21" t="s">
        <v>8</v>
      </c>
      <c r="G100" s="22">
        <v>1000</v>
      </c>
      <c r="H100" s="235"/>
      <c r="I100" s="236">
        <f>Medicam_Nun_e_Gomes[[#This Row],[VALOR UNID]]*Medicam_Dados[[#This Row],[QUANT]]</f>
        <v>0</v>
      </c>
      <c r="J100" s="236">
        <f>Medicam_Nun_e_Gomes[[#This Row],[VALOR MÊS ]]*12</f>
        <v>0</v>
      </c>
      <c r="M100" s="15"/>
      <c r="P100" s="15">
        <f>Medicam_Nun_e_Gomes[[#This Row],[VALOR UNID]]</f>
        <v>0</v>
      </c>
      <c r="Q100" s="15" t="e">
        <f>#REF!</f>
        <v>#REF!</v>
      </c>
      <c r="R100" s="15" t="e">
        <f>#REF!</f>
        <v>#REF!</v>
      </c>
    </row>
    <row r="101" spans="1:18" s="8" customFormat="1" ht="33.75" x14ac:dyDescent="0.25">
      <c r="A101" s="22" t="s">
        <v>260</v>
      </c>
      <c r="B101" s="21" t="s">
        <v>5</v>
      </c>
      <c r="C101" s="21" t="s">
        <v>261</v>
      </c>
      <c r="D101" s="21" t="s">
        <v>1164</v>
      </c>
      <c r="E101" s="22" t="s">
        <v>45</v>
      </c>
      <c r="F101" s="21" t="s">
        <v>40</v>
      </c>
      <c r="G101" s="22">
        <v>120</v>
      </c>
      <c r="H101" s="170"/>
      <c r="I101" s="15">
        <f>Medicam_Nun_e_Gomes[[#This Row],[VALOR UNID]]*Medicam_Dados[[#This Row],[QUANT]]</f>
        <v>0</v>
      </c>
      <c r="J101" s="15">
        <f>Medicam_Nun_e_Gomes[[#This Row],[VALOR MÊS ]]*12</f>
        <v>0</v>
      </c>
      <c r="M101" s="15"/>
      <c r="P101" s="15">
        <f>Medicam_Nun_e_Gomes[[#This Row],[VALOR UNID]]</f>
        <v>0</v>
      </c>
      <c r="Q101" s="15" t="e">
        <f>#REF!</f>
        <v>#REF!</v>
      </c>
      <c r="R101" s="15" t="e">
        <f>#REF!</f>
        <v>#REF!</v>
      </c>
    </row>
    <row r="102" spans="1:18" s="8" customFormat="1" ht="33.75" x14ac:dyDescent="0.25">
      <c r="A102" s="22" t="s">
        <v>262</v>
      </c>
      <c r="B102" s="21" t="s">
        <v>5</v>
      </c>
      <c r="C102" s="21" t="s">
        <v>263</v>
      </c>
      <c r="D102" s="21" t="s">
        <v>1165</v>
      </c>
      <c r="E102" s="22" t="s">
        <v>14</v>
      </c>
      <c r="F102" s="21" t="s">
        <v>8</v>
      </c>
      <c r="G102" s="22">
        <v>3000</v>
      </c>
      <c r="H102" s="235"/>
      <c r="I102" s="236">
        <f>Medicam_Nun_e_Gomes[[#This Row],[VALOR UNID]]*Medicam_Dados[[#This Row],[QUANT]]</f>
        <v>0</v>
      </c>
      <c r="J102" s="236">
        <f>Medicam_Nun_e_Gomes[[#This Row],[VALOR MÊS ]]*12</f>
        <v>0</v>
      </c>
      <c r="M102" s="15"/>
      <c r="P102" s="15">
        <f>Medicam_Nun_e_Gomes[[#This Row],[VALOR UNID]]</f>
        <v>0</v>
      </c>
      <c r="Q102" s="15" t="e">
        <f>#REF!</f>
        <v>#REF!</v>
      </c>
      <c r="R102" s="15" t="e">
        <f>#REF!</f>
        <v>#REF!</v>
      </c>
    </row>
    <row r="103" spans="1:18" s="8" customFormat="1" ht="33.75" x14ac:dyDescent="0.25">
      <c r="A103" s="22" t="s">
        <v>264</v>
      </c>
      <c r="B103" s="21" t="s">
        <v>5</v>
      </c>
      <c r="C103" s="21" t="s">
        <v>265</v>
      </c>
      <c r="D103" s="21" t="s">
        <v>1166</v>
      </c>
      <c r="E103" s="22" t="s">
        <v>266</v>
      </c>
      <c r="F103" s="21" t="s">
        <v>40</v>
      </c>
      <c r="G103" s="22">
        <v>30</v>
      </c>
      <c r="H103" s="170"/>
      <c r="I103" s="15">
        <f>Medicam_Nun_e_Gomes[[#This Row],[VALOR UNID]]*Medicam_Dados[[#This Row],[QUANT]]</f>
        <v>0</v>
      </c>
      <c r="J103" s="15">
        <f>Medicam_Nun_e_Gomes[[#This Row],[VALOR MÊS ]]*12</f>
        <v>0</v>
      </c>
      <c r="M103" s="15"/>
      <c r="P103" s="15">
        <f>Medicam_Nun_e_Gomes[[#This Row],[VALOR UNID]]</f>
        <v>0</v>
      </c>
      <c r="Q103" s="15" t="e">
        <f>#REF!</f>
        <v>#REF!</v>
      </c>
      <c r="R103" s="15" t="e">
        <f>#REF!</f>
        <v>#REF!</v>
      </c>
    </row>
    <row r="104" spans="1:18" s="8" customFormat="1" ht="33.75" x14ac:dyDescent="0.25">
      <c r="A104" s="22" t="s">
        <v>267</v>
      </c>
      <c r="B104" s="21" t="s">
        <v>5</v>
      </c>
      <c r="C104" s="21" t="s">
        <v>268</v>
      </c>
      <c r="D104" s="21" t="s">
        <v>1167</v>
      </c>
      <c r="E104" s="22" t="s">
        <v>269</v>
      </c>
      <c r="F104" s="21" t="s">
        <v>270</v>
      </c>
      <c r="G104" s="22">
        <v>15</v>
      </c>
      <c r="H104" s="235"/>
      <c r="I104" s="236">
        <f>Medicam_Nun_e_Gomes[[#This Row],[VALOR UNID]]/6*(Medicam_Dados[[#This Row],[QUANT]])</f>
        <v>0</v>
      </c>
      <c r="J104" s="236">
        <f>Medicam_Nun_e_Gomes[[#This Row],[VALOR MÊS ]]*12</f>
        <v>0</v>
      </c>
      <c r="M104" s="15"/>
      <c r="P104" s="15">
        <f>Medicam_Nun_e_Gomes[[#This Row],[VALOR UNID]]</f>
        <v>0</v>
      </c>
      <c r="Q104" s="15" t="e">
        <f>#REF!</f>
        <v>#REF!</v>
      </c>
      <c r="R104" s="15" t="e">
        <f>#REF!</f>
        <v>#REF!</v>
      </c>
    </row>
    <row r="105" spans="1:18" s="8" customFormat="1" ht="33.75" x14ac:dyDescent="0.25">
      <c r="A105" s="22" t="s">
        <v>272</v>
      </c>
      <c r="B105" s="21" t="s">
        <v>5</v>
      </c>
      <c r="C105" s="21" t="s">
        <v>273</v>
      </c>
      <c r="D105" s="21" t="s">
        <v>1168</v>
      </c>
      <c r="E105" s="22" t="s">
        <v>274</v>
      </c>
      <c r="F105" s="21" t="s">
        <v>52</v>
      </c>
      <c r="G105" s="22">
        <v>1850</v>
      </c>
      <c r="H105" s="170"/>
      <c r="I105" s="15">
        <f>Medicam_Nun_e_Gomes[[#This Row],[VALOR UNID]]*Medicam_Dados[[#This Row],[QUANT]]</f>
        <v>0</v>
      </c>
      <c r="J105" s="15">
        <f>Medicam_Nun_e_Gomes[[#This Row],[VALOR MÊS ]]*12</f>
        <v>0</v>
      </c>
      <c r="M105" s="15"/>
      <c r="P105" s="15">
        <f>Medicam_Nun_e_Gomes[[#This Row],[VALOR UNID]]</f>
        <v>0</v>
      </c>
      <c r="Q105" s="15" t="e">
        <f>#REF!</f>
        <v>#REF!</v>
      </c>
      <c r="R105" s="15" t="e">
        <f>#REF!</f>
        <v>#REF!</v>
      </c>
    </row>
    <row r="106" spans="1:18" s="8" customFormat="1" ht="33.75" x14ac:dyDescent="0.25">
      <c r="A106" s="22" t="s">
        <v>275</v>
      </c>
      <c r="B106" s="21" t="s">
        <v>5</v>
      </c>
      <c r="C106" s="21" t="s">
        <v>276</v>
      </c>
      <c r="D106" s="21" t="s">
        <v>1242</v>
      </c>
      <c r="E106" s="22" t="s">
        <v>277</v>
      </c>
      <c r="F106" s="21" t="s">
        <v>40</v>
      </c>
      <c r="G106" s="22">
        <v>15</v>
      </c>
      <c r="H106" s="235"/>
      <c r="I106" s="236">
        <f>Medicam_Nun_e_Gomes[[#This Row],[VALOR UNID]]/6*(Medicam_Dados[[#This Row],[QUANT]])</f>
        <v>0</v>
      </c>
      <c r="J106" s="236">
        <f>Medicam_Nun_e_Gomes[[#This Row],[VALOR MÊS ]]*12</f>
        <v>0</v>
      </c>
      <c r="M106" s="15"/>
      <c r="P106" s="15">
        <f>Medicam_Nun_e_Gomes[[#This Row],[VALOR UNID]]</f>
        <v>0</v>
      </c>
      <c r="Q106" s="15" t="e">
        <f>#REF!</f>
        <v>#REF!</v>
      </c>
      <c r="R106" s="15" t="e">
        <f>#REF!</f>
        <v>#REF!</v>
      </c>
    </row>
    <row r="107" spans="1:18" s="8" customFormat="1" ht="22.5" customHeight="1" x14ac:dyDescent="0.25">
      <c r="A107" s="22" t="s">
        <v>278</v>
      </c>
      <c r="B107" s="21" t="s">
        <v>5</v>
      </c>
      <c r="C107" s="21" t="s">
        <v>279</v>
      </c>
      <c r="D107" s="21" t="s">
        <v>1290</v>
      </c>
      <c r="E107" s="22" t="s">
        <v>104</v>
      </c>
      <c r="F107" s="21" t="s">
        <v>8</v>
      </c>
      <c r="G107" s="22">
        <v>370</v>
      </c>
      <c r="H107" s="170"/>
      <c r="I107" s="15">
        <f>Medicam_Nun_e_Gomes[[#This Row],[VALOR UNID]]/6*(Medicam_Dados[[#This Row],[QUANT]])</f>
        <v>0</v>
      </c>
      <c r="J107" s="15">
        <f>Medicam_Nun_e_Gomes[[#This Row],[VALOR MÊS ]]*12</f>
        <v>0</v>
      </c>
      <c r="M107" s="15"/>
      <c r="P107" s="15">
        <f>Medicam_Nun_e_Gomes[[#This Row],[VALOR UNID]]</f>
        <v>0</v>
      </c>
      <c r="Q107" s="15" t="e">
        <f>#REF!</f>
        <v>#REF!</v>
      </c>
      <c r="R107" s="15" t="e">
        <f>#REF!</f>
        <v>#REF!</v>
      </c>
    </row>
    <row r="108" spans="1:18" s="8" customFormat="1" ht="22.5" customHeight="1" x14ac:dyDescent="0.25">
      <c r="A108" s="22" t="s">
        <v>280</v>
      </c>
      <c r="B108" s="21" t="s">
        <v>5</v>
      </c>
      <c r="C108" s="21" t="s">
        <v>281</v>
      </c>
      <c r="D108" s="21"/>
      <c r="E108" s="21" t="s">
        <v>282</v>
      </c>
      <c r="F108" s="21" t="s">
        <v>283</v>
      </c>
      <c r="G108" s="22">
        <v>15</v>
      </c>
      <c r="H108" s="235"/>
      <c r="I108" s="236">
        <f>Medicam_Nun_e_Gomes[[#This Row],[VALOR UNID]]/6*(Medicam_Dados[[#This Row],[QUANT]])</f>
        <v>0</v>
      </c>
      <c r="J108" s="236">
        <f>Medicam_Nun_e_Gomes[[#This Row],[VALOR MÊS ]]*12</f>
        <v>0</v>
      </c>
      <c r="M108" s="15"/>
      <c r="P108" s="15">
        <f>Medicam_Nun_e_Gomes[[#This Row],[VALOR UNID]]</f>
        <v>0</v>
      </c>
      <c r="Q108" s="15" t="e">
        <f>#REF!</f>
        <v>#REF!</v>
      </c>
      <c r="R108" s="15" t="e">
        <f>#REF!</f>
        <v>#REF!</v>
      </c>
    </row>
    <row r="109" spans="1:18" s="8" customFormat="1" ht="33.75" x14ac:dyDescent="0.25">
      <c r="A109" s="22" t="s">
        <v>284</v>
      </c>
      <c r="B109" s="21" t="s">
        <v>5</v>
      </c>
      <c r="C109" s="21" t="s">
        <v>285</v>
      </c>
      <c r="D109" s="21" t="s">
        <v>1169</v>
      </c>
      <c r="E109" s="22" t="s">
        <v>286</v>
      </c>
      <c r="F109" s="21" t="s">
        <v>52</v>
      </c>
      <c r="G109" s="22">
        <v>2500</v>
      </c>
      <c r="H109" s="170"/>
      <c r="I109" s="15">
        <f>Medicam_Nun_e_Gomes[[#This Row],[VALOR UNID]]*Medicam_Dados[[#This Row],[QUANT]]</f>
        <v>0</v>
      </c>
      <c r="J109" s="15">
        <f>Medicam_Nun_e_Gomes[[#This Row],[VALOR MÊS ]]*12</f>
        <v>0</v>
      </c>
      <c r="M109" s="15"/>
      <c r="P109" s="15">
        <f>Medicam_Nun_e_Gomes[[#This Row],[VALOR UNID]]</f>
        <v>0</v>
      </c>
      <c r="Q109" s="15" t="e">
        <f>#REF!</f>
        <v>#REF!</v>
      </c>
      <c r="R109" s="15" t="e">
        <f>#REF!</f>
        <v>#REF!</v>
      </c>
    </row>
    <row r="110" spans="1:18" s="8" customFormat="1" ht="33.75" x14ac:dyDescent="0.25">
      <c r="A110" s="22" t="s">
        <v>287</v>
      </c>
      <c r="B110" s="21" t="s">
        <v>5</v>
      </c>
      <c r="C110" s="21" t="s">
        <v>288</v>
      </c>
      <c r="D110" s="21" t="s">
        <v>1170</v>
      </c>
      <c r="E110" s="22" t="s">
        <v>289</v>
      </c>
      <c r="F110" s="21" t="s">
        <v>290</v>
      </c>
      <c r="G110" s="22">
        <v>11</v>
      </c>
      <c r="H110" s="235"/>
      <c r="I110" s="236">
        <f>Medicam_Nun_e_Gomes[[#This Row],[VALOR UNID]]/6*(Medicam_Dados[[#This Row],[QUANT]])</f>
        <v>0</v>
      </c>
      <c r="J110" s="236">
        <f>Medicam_Nun_e_Gomes[[#This Row],[VALOR MÊS ]]*12</f>
        <v>0</v>
      </c>
      <c r="M110" s="15"/>
      <c r="P110" s="15">
        <f>Medicam_Nun_e_Gomes[[#This Row],[VALOR UNID]]</f>
        <v>0</v>
      </c>
      <c r="Q110" s="15" t="e">
        <f>#REF!</f>
        <v>#REF!</v>
      </c>
      <c r="R110" s="15" t="e">
        <f>#REF!</f>
        <v>#REF!</v>
      </c>
    </row>
    <row r="111" spans="1:18" s="8" customFormat="1" ht="33.75" x14ac:dyDescent="0.25">
      <c r="A111" s="22" t="s">
        <v>291</v>
      </c>
      <c r="B111" s="21" t="s">
        <v>5</v>
      </c>
      <c r="C111" s="21" t="s">
        <v>292</v>
      </c>
      <c r="D111" s="21" t="s">
        <v>1171</v>
      </c>
      <c r="E111" s="22" t="s">
        <v>293</v>
      </c>
      <c r="F111" s="21" t="s">
        <v>8</v>
      </c>
      <c r="G111" s="22">
        <v>1163</v>
      </c>
      <c r="H111" s="170"/>
      <c r="I111" s="15">
        <f>Medicam_Nun_e_Gomes[[#This Row],[VALOR UNID]]*Medicam_Dados[[#This Row],[QUANT]]</f>
        <v>0</v>
      </c>
      <c r="J111" s="15">
        <f>Medicam_Nun_e_Gomes[[#This Row],[VALOR MÊS ]]*12</f>
        <v>0</v>
      </c>
      <c r="M111" s="15"/>
      <c r="P111" s="15">
        <f>Medicam_Nun_e_Gomes[[#This Row],[VALOR UNID]]</f>
        <v>0</v>
      </c>
      <c r="Q111" s="15" t="e">
        <f>#REF!</f>
        <v>#REF!</v>
      </c>
      <c r="R111" s="15" t="e">
        <f>#REF!</f>
        <v>#REF!</v>
      </c>
    </row>
    <row r="112" spans="1:18" s="8" customFormat="1" ht="33.75" x14ac:dyDescent="0.25">
      <c r="A112" s="22" t="s">
        <v>294</v>
      </c>
      <c r="B112" s="21" t="s">
        <v>5</v>
      </c>
      <c r="C112" s="21" t="s">
        <v>295</v>
      </c>
      <c r="D112" s="21" t="s">
        <v>1297</v>
      </c>
      <c r="E112" s="22" t="s">
        <v>296</v>
      </c>
      <c r="F112" s="21" t="s">
        <v>40</v>
      </c>
      <c r="G112" s="22">
        <v>60</v>
      </c>
      <c r="H112" s="235"/>
      <c r="I112" s="236">
        <f>Medicam_Nun_e_Gomes[[#This Row],[VALOR UNID]]*Medicam_Dados[[#This Row],[QUANT]]</f>
        <v>0</v>
      </c>
      <c r="J112" s="236">
        <f>Medicam_Nun_e_Gomes[[#This Row],[VALOR MÊS ]]*12</f>
        <v>0</v>
      </c>
      <c r="M112" s="15"/>
      <c r="P112" s="15">
        <f>Medicam_Nun_e_Gomes[[#This Row],[VALOR UNID]]</f>
        <v>0</v>
      </c>
      <c r="Q112" s="15" t="e">
        <f>#REF!</f>
        <v>#REF!</v>
      </c>
      <c r="R112" s="15" t="e">
        <f>#REF!</f>
        <v>#REF!</v>
      </c>
    </row>
    <row r="113" spans="1:18" s="8" customFormat="1" ht="33.75" x14ac:dyDescent="0.25">
      <c r="A113" s="22" t="s">
        <v>297</v>
      </c>
      <c r="B113" s="21" t="s">
        <v>5</v>
      </c>
      <c r="C113" s="21" t="s">
        <v>298</v>
      </c>
      <c r="D113" s="21" t="s">
        <v>1292</v>
      </c>
      <c r="E113" s="22" t="s">
        <v>269</v>
      </c>
      <c r="F113" s="21" t="s">
        <v>299</v>
      </c>
      <c r="G113" s="22">
        <v>3</v>
      </c>
      <c r="H113" s="170"/>
      <c r="I113" s="15">
        <f>Medicam_Nun_e_Gomes[[#This Row],[VALOR UNID]]*Medicam_Dados[[#This Row],[QUANT]]</f>
        <v>0</v>
      </c>
      <c r="J113" s="15">
        <f>Medicam_Nun_e_Gomes[[#This Row],[VALOR MÊS ]]*12</f>
        <v>0</v>
      </c>
      <c r="M113" s="15"/>
      <c r="P113" s="15">
        <f>Medicam_Nun_e_Gomes[[#This Row],[VALOR UNID]]</f>
        <v>0</v>
      </c>
      <c r="Q113" s="15" t="e">
        <f>#REF!</f>
        <v>#REF!</v>
      </c>
      <c r="R113" s="15" t="e">
        <f>#REF!</f>
        <v>#REF!</v>
      </c>
    </row>
    <row r="114" spans="1:18" s="8" customFormat="1" ht="33.75" x14ac:dyDescent="0.25">
      <c r="A114" s="22" t="s">
        <v>300</v>
      </c>
      <c r="B114" s="21" t="s">
        <v>5</v>
      </c>
      <c r="C114" s="21" t="s">
        <v>301</v>
      </c>
      <c r="D114" s="21" t="s">
        <v>1291</v>
      </c>
      <c r="E114" s="22" t="s">
        <v>302</v>
      </c>
      <c r="F114" s="21" t="s">
        <v>40</v>
      </c>
      <c r="G114" s="22">
        <v>5</v>
      </c>
      <c r="H114" s="235"/>
      <c r="I114" s="236">
        <f>Medicam_Nun_e_Gomes[[#This Row],[VALOR UNID]]*Medicam_Dados[[#This Row],[QUANT]]</f>
        <v>0</v>
      </c>
      <c r="J114" s="236">
        <f>Medicam_Nun_e_Gomes[[#This Row],[VALOR MÊS ]]*12</f>
        <v>0</v>
      </c>
      <c r="M114" s="15"/>
      <c r="P114" s="15">
        <f>Medicam_Nun_e_Gomes[[#This Row],[VALOR UNID]]</f>
        <v>0</v>
      </c>
      <c r="Q114" s="15" t="e">
        <f>#REF!</f>
        <v>#REF!</v>
      </c>
      <c r="R114" s="15" t="e">
        <f>#REF!</f>
        <v>#REF!</v>
      </c>
    </row>
    <row r="115" spans="1:18" s="8" customFormat="1" ht="33.75" x14ac:dyDescent="0.25">
      <c r="A115" s="22" t="s">
        <v>303</v>
      </c>
      <c r="B115" s="21" t="s">
        <v>5</v>
      </c>
      <c r="C115" s="21" t="s">
        <v>304</v>
      </c>
      <c r="D115" s="21" t="s">
        <v>1243</v>
      </c>
      <c r="E115" s="22" t="s">
        <v>17</v>
      </c>
      <c r="F115" s="21" t="s">
        <v>8</v>
      </c>
      <c r="G115" s="22">
        <v>2500</v>
      </c>
      <c r="H115" s="170"/>
      <c r="I115" s="15">
        <f>Medicam_Nun_e_Gomes[[#This Row],[VALOR UNID]]*Medicam_Dados[[#This Row],[QUANT]]</f>
        <v>0</v>
      </c>
      <c r="J115" s="15">
        <f>Medicam_Nun_e_Gomes[[#This Row],[VALOR MÊS ]]*12</f>
        <v>0</v>
      </c>
      <c r="M115" s="15"/>
      <c r="P115" s="15">
        <f>Medicam_Nun_e_Gomes[[#This Row],[VALOR UNID]]</f>
        <v>0</v>
      </c>
      <c r="Q115" s="15" t="e">
        <f>#REF!</f>
        <v>#REF!</v>
      </c>
      <c r="R115" s="15" t="e">
        <f>#REF!</f>
        <v>#REF!</v>
      </c>
    </row>
    <row r="116" spans="1:18" s="8" customFormat="1" ht="33.75" x14ac:dyDescent="0.25">
      <c r="A116" s="22" t="s">
        <v>306</v>
      </c>
      <c r="B116" s="21" t="s">
        <v>5</v>
      </c>
      <c r="C116" s="21" t="s">
        <v>307</v>
      </c>
      <c r="D116" s="21" t="s">
        <v>1244</v>
      </c>
      <c r="E116" s="22" t="s">
        <v>308</v>
      </c>
      <c r="F116" s="21" t="s">
        <v>163</v>
      </c>
      <c r="G116" s="22">
        <v>25</v>
      </c>
      <c r="H116" s="235"/>
      <c r="I116" s="236">
        <f>Medicam_Nun_e_Gomes[[#This Row],[VALOR UNID]]/6*(Medicam_Dados[[#This Row],[QUANT]])</f>
        <v>0</v>
      </c>
      <c r="J116" s="236">
        <f>Medicam_Nun_e_Gomes[[#This Row],[VALOR MÊS ]]*12</f>
        <v>0</v>
      </c>
      <c r="M116" s="15"/>
      <c r="P116" s="15">
        <f>Medicam_Nun_e_Gomes[[#This Row],[VALOR UNID]]</f>
        <v>0</v>
      </c>
      <c r="Q116" s="15" t="e">
        <f>#REF!</f>
        <v>#REF!</v>
      </c>
      <c r="R116" s="15" t="e">
        <f>#REF!</f>
        <v>#REF!</v>
      </c>
    </row>
    <row r="117" spans="1:18" s="8" customFormat="1" ht="33.75" x14ac:dyDescent="0.25">
      <c r="A117" s="22" t="s">
        <v>309</v>
      </c>
      <c r="B117" s="21" t="s">
        <v>5</v>
      </c>
      <c r="C117" s="21" t="s">
        <v>310</v>
      </c>
      <c r="D117" s="21" t="s">
        <v>1298</v>
      </c>
      <c r="E117" s="22">
        <v>0.25</v>
      </c>
      <c r="F117" s="21" t="s">
        <v>311</v>
      </c>
      <c r="G117" s="22">
        <v>400</v>
      </c>
      <c r="H117" s="170"/>
      <c r="I117" s="15">
        <f>Medicam_Nun_e_Gomes[[#This Row],[VALOR UNID]]*Medicam_Dados[[#This Row],[QUANT]]</f>
        <v>0</v>
      </c>
      <c r="J117" s="15">
        <f>Medicam_Nun_e_Gomes[[#This Row],[VALOR MÊS ]]*12</f>
        <v>0</v>
      </c>
      <c r="M117" s="15"/>
      <c r="P117" s="15">
        <f>Medicam_Nun_e_Gomes[[#This Row],[VALOR UNID]]</f>
        <v>0</v>
      </c>
      <c r="Q117" s="15" t="e">
        <f>#REF!</f>
        <v>#REF!</v>
      </c>
      <c r="R117" s="15" t="e">
        <f>#REF!</f>
        <v>#REF!</v>
      </c>
    </row>
    <row r="118" spans="1:18" s="8" customFormat="1" ht="33.75" x14ac:dyDescent="0.25">
      <c r="A118" s="22" t="s">
        <v>312</v>
      </c>
      <c r="B118" s="21" t="s">
        <v>5</v>
      </c>
      <c r="C118" s="21" t="s">
        <v>310</v>
      </c>
      <c r="D118" s="21" t="s">
        <v>1245</v>
      </c>
      <c r="E118" s="22">
        <v>0.5</v>
      </c>
      <c r="F118" s="21" t="s">
        <v>311</v>
      </c>
      <c r="G118" s="22">
        <v>350</v>
      </c>
      <c r="H118" s="235"/>
      <c r="I118" s="236">
        <f>Medicam_Nun_e_Gomes[[#This Row],[VALOR UNID]]*Medicam_Dados[[#This Row],[QUANT]]</f>
        <v>0</v>
      </c>
      <c r="J118" s="236">
        <f>Medicam_Nun_e_Gomes[[#This Row],[VALOR MÊS ]]*12</f>
        <v>0</v>
      </c>
      <c r="M118" s="15"/>
      <c r="P118" s="15">
        <f>Medicam_Nun_e_Gomes[[#This Row],[VALOR UNID]]</f>
        <v>0</v>
      </c>
      <c r="Q118" s="15" t="e">
        <f>#REF!</f>
        <v>#REF!</v>
      </c>
      <c r="R118" s="15" t="e">
        <f>#REF!</f>
        <v>#REF!</v>
      </c>
    </row>
    <row r="119" spans="1:18" s="8" customFormat="1" ht="33.75" x14ac:dyDescent="0.25">
      <c r="A119" s="22" t="s">
        <v>313</v>
      </c>
      <c r="B119" s="21" t="s">
        <v>5</v>
      </c>
      <c r="C119" s="21" t="s">
        <v>314</v>
      </c>
      <c r="D119" s="21" t="s">
        <v>1246</v>
      </c>
      <c r="E119" s="22" t="s">
        <v>315</v>
      </c>
      <c r="F119" s="21" t="s">
        <v>8</v>
      </c>
      <c r="G119" s="22">
        <v>196</v>
      </c>
      <c r="H119" s="170"/>
      <c r="I119" s="15">
        <f>Medicam_Nun_e_Gomes[[#This Row],[VALOR UNID]]*Medicam_Dados[[#This Row],[QUANT]]</f>
        <v>0</v>
      </c>
      <c r="J119" s="15">
        <f>Medicam_Nun_e_Gomes[[#This Row],[VALOR MÊS ]]*12</f>
        <v>0</v>
      </c>
      <c r="M119" s="15"/>
      <c r="P119" s="15">
        <f>Medicam_Nun_e_Gomes[[#This Row],[VALOR UNID]]</f>
        <v>0</v>
      </c>
      <c r="Q119" s="15" t="e">
        <f>#REF!</f>
        <v>#REF!</v>
      </c>
      <c r="R119" s="15" t="e">
        <f>#REF!</f>
        <v>#REF!</v>
      </c>
    </row>
    <row r="120" spans="1:18" s="8" customFormat="1" ht="33.75" x14ac:dyDescent="0.25">
      <c r="A120" s="22" t="s">
        <v>316</v>
      </c>
      <c r="B120" s="21" t="s">
        <v>5</v>
      </c>
      <c r="C120" s="21" t="s">
        <v>314</v>
      </c>
      <c r="D120" s="21" t="s">
        <v>1247</v>
      </c>
      <c r="E120" s="22" t="s">
        <v>269</v>
      </c>
      <c r="F120" s="21" t="s">
        <v>40</v>
      </c>
      <c r="G120" s="22">
        <v>50</v>
      </c>
      <c r="H120" s="235"/>
      <c r="I120" s="236">
        <f>Medicam_Nun_e_Gomes[[#This Row],[VALOR UNID]]/6*(Medicam_Dados[[#This Row],[QUANT]])</f>
        <v>0</v>
      </c>
      <c r="J120" s="236">
        <f>Medicam_Nun_e_Gomes[[#This Row],[VALOR MÊS ]]*12</f>
        <v>0</v>
      </c>
      <c r="M120" s="15"/>
      <c r="P120" s="15">
        <f>Medicam_Nun_e_Gomes[[#This Row],[VALOR UNID]]</f>
        <v>0</v>
      </c>
      <c r="Q120" s="15" t="e">
        <f>#REF!</f>
        <v>#REF!</v>
      </c>
      <c r="R120" s="15" t="e">
        <f>#REF!</f>
        <v>#REF!</v>
      </c>
    </row>
    <row r="121" spans="1:18" s="8" customFormat="1" ht="33.75" x14ac:dyDescent="0.25">
      <c r="A121" s="22" t="s">
        <v>317</v>
      </c>
      <c r="B121" s="21" t="s">
        <v>5</v>
      </c>
      <c r="C121" s="21" t="s">
        <v>314</v>
      </c>
      <c r="D121" s="21" t="s">
        <v>1156</v>
      </c>
      <c r="E121" s="22" t="s">
        <v>17</v>
      </c>
      <c r="F121" s="21" t="s">
        <v>8</v>
      </c>
      <c r="G121" s="22">
        <v>687</v>
      </c>
      <c r="H121" s="170"/>
      <c r="I121" s="15">
        <f>Medicam_Nun_e_Gomes[[#This Row],[VALOR UNID]]*Medicam_Dados[[#This Row],[QUANT]]</f>
        <v>0</v>
      </c>
      <c r="J121" s="15">
        <f>Medicam_Nun_e_Gomes[[#This Row],[VALOR MÊS ]]*12</f>
        <v>0</v>
      </c>
      <c r="M121" s="15"/>
      <c r="P121" s="15">
        <f>Medicam_Nun_e_Gomes[[#This Row],[VALOR UNID]]</f>
        <v>0</v>
      </c>
      <c r="Q121" s="15" t="e">
        <f>#REF!</f>
        <v>#REF!</v>
      </c>
      <c r="R121" s="15" t="e">
        <f>#REF!</f>
        <v>#REF!</v>
      </c>
    </row>
    <row r="122" spans="1:18" s="8" customFormat="1" ht="33.75" x14ac:dyDescent="0.25">
      <c r="A122" s="22" t="s">
        <v>318</v>
      </c>
      <c r="B122" s="21" t="s">
        <v>5</v>
      </c>
      <c r="C122" s="21" t="s">
        <v>319</v>
      </c>
      <c r="D122" s="21" t="s">
        <v>1316</v>
      </c>
      <c r="E122" s="22" t="s">
        <v>320</v>
      </c>
      <c r="F122" s="21" t="s">
        <v>40</v>
      </c>
      <c r="G122" s="22">
        <v>11</v>
      </c>
      <c r="H122" s="235"/>
      <c r="I122" s="236">
        <f>Medicam_Nun_e_Gomes[[#This Row],[VALOR UNID]]*Medicam_Dados[[#This Row],[QUANT]]</f>
        <v>0</v>
      </c>
      <c r="J122" s="236">
        <f>Medicam_Nun_e_Gomes[[#This Row],[VALOR MÊS ]]*12</f>
        <v>0</v>
      </c>
      <c r="M122" s="15"/>
      <c r="P122" s="15">
        <f>Medicam_Nun_e_Gomes[[#This Row],[VALOR UNID]]</f>
        <v>0</v>
      </c>
      <c r="Q122" s="15" t="e">
        <f>#REF!</f>
        <v>#REF!</v>
      </c>
      <c r="R122" s="15" t="e">
        <f>#REF!</f>
        <v>#REF!</v>
      </c>
    </row>
    <row r="123" spans="1:18" s="8" customFormat="1" ht="33.75" x14ac:dyDescent="0.25">
      <c r="A123" s="22" t="s">
        <v>321</v>
      </c>
      <c r="B123" s="21" t="s">
        <v>5</v>
      </c>
      <c r="C123" s="21" t="s">
        <v>322</v>
      </c>
      <c r="D123" s="21" t="s">
        <v>1248</v>
      </c>
      <c r="E123" s="22" t="s">
        <v>323</v>
      </c>
      <c r="F123" s="21" t="s">
        <v>40</v>
      </c>
      <c r="G123" s="22">
        <v>15</v>
      </c>
      <c r="H123" s="170"/>
      <c r="I123" s="15">
        <f>Medicam_Nun_e_Gomes[[#This Row],[VALOR UNID]]*Medicam_Dados[[#This Row],[QUANT]]</f>
        <v>0</v>
      </c>
      <c r="J123" s="15">
        <f>Medicam_Nun_e_Gomes[[#This Row],[VALOR MÊS ]]*12</f>
        <v>0</v>
      </c>
      <c r="M123" s="15"/>
      <c r="P123" s="15">
        <f>Medicam_Nun_e_Gomes[[#This Row],[VALOR UNID]]</f>
        <v>0</v>
      </c>
      <c r="Q123" s="15" t="e">
        <f>#REF!</f>
        <v>#REF!</v>
      </c>
      <c r="R123" s="15" t="e">
        <f>#REF!</f>
        <v>#REF!</v>
      </c>
    </row>
    <row r="124" spans="1:18" s="8" customFormat="1" ht="33.75" x14ac:dyDescent="0.25">
      <c r="A124" s="22" t="s">
        <v>324</v>
      </c>
      <c r="B124" s="21" t="s">
        <v>5</v>
      </c>
      <c r="C124" s="21" t="s">
        <v>325</v>
      </c>
      <c r="D124" s="23" t="s">
        <v>1249</v>
      </c>
      <c r="E124" s="22" t="s">
        <v>48</v>
      </c>
      <c r="F124" s="21" t="s">
        <v>8</v>
      </c>
      <c r="G124" s="22">
        <v>31000</v>
      </c>
      <c r="H124" s="235"/>
      <c r="I124" s="236">
        <f>Medicam_Nun_e_Gomes[[#This Row],[VALOR UNID]]*Medicam_Dados[[#This Row],[QUANT]]</f>
        <v>0</v>
      </c>
      <c r="J124" s="236">
        <f>Medicam_Nun_e_Gomes[[#This Row],[VALOR MÊS ]]*12</f>
        <v>0</v>
      </c>
      <c r="M124" s="15"/>
      <c r="P124" s="15">
        <f>Medicam_Nun_e_Gomes[[#This Row],[VALOR UNID]]</f>
        <v>0</v>
      </c>
      <c r="Q124" s="15" t="e">
        <f>#REF!</f>
        <v>#REF!</v>
      </c>
      <c r="R124" s="15" t="e">
        <f>#REF!</f>
        <v>#REF!</v>
      </c>
    </row>
    <row r="125" spans="1:18" s="8" customFormat="1" ht="33.75" x14ac:dyDescent="0.25">
      <c r="A125" s="22" t="s">
        <v>326</v>
      </c>
      <c r="B125" s="21" t="s">
        <v>5</v>
      </c>
      <c r="C125" s="21" t="s">
        <v>327</v>
      </c>
      <c r="D125" s="21"/>
      <c r="E125" s="22" t="s">
        <v>266</v>
      </c>
      <c r="F125" s="21" t="s">
        <v>311</v>
      </c>
      <c r="G125" s="22">
        <v>79</v>
      </c>
      <c r="H125" s="170"/>
      <c r="I125" s="15">
        <f>Medicam_Nun_e_Gomes[[#This Row],[VALOR UNID]]*Medicam_Dados[[#This Row],[QUANT]]</f>
        <v>0</v>
      </c>
      <c r="J125" s="15">
        <f>Medicam_Nun_e_Gomes[[#This Row],[VALOR MÊS ]]*12</f>
        <v>0</v>
      </c>
      <c r="M125" s="15"/>
      <c r="P125" s="15">
        <f>Medicam_Nun_e_Gomes[[#This Row],[VALOR UNID]]</f>
        <v>0</v>
      </c>
      <c r="Q125" s="15" t="e">
        <f>#REF!</f>
        <v>#REF!</v>
      </c>
      <c r="R125" s="15" t="e">
        <f>#REF!</f>
        <v>#REF!</v>
      </c>
    </row>
    <row r="126" spans="1:18" s="8" customFormat="1" ht="33.75" x14ac:dyDescent="0.25">
      <c r="A126" s="22" t="s">
        <v>328</v>
      </c>
      <c r="B126" s="21" t="s">
        <v>5</v>
      </c>
      <c r="C126" s="21" t="s">
        <v>327</v>
      </c>
      <c r="D126" s="21"/>
      <c r="E126" s="22" t="s">
        <v>61</v>
      </c>
      <c r="F126" s="21" t="s">
        <v>311</v>
      </c>
      <c r="G126" s="22">
        <v>26</v>
      </c>
      <c r="H126" s="235"/>
      <c r="I126" s="236">
        <f>Medicam_Nun_e_Gomes[[#This Row],[VALOR UNID]]*Medicam_Dados[[#This Row],[QUANT]]</f>
        <v>0</v>
      </c>
      <c r="J126" s="236">
        <f>Medicam_Nun_e_Gomes[[#This Row],[VALOR MÊS ]]*12</f>
        <v>0</v>
      </c>
      <c r="M126" s="15"/>
      <c r="P126" s="15">
        <f>Medicam_Nun_e_Gomes[[#This Row],[VALOR UNID]]</f>
        <v>0</v>
      </c>
      <c r="Q126" s="15" t="e">
        <f>#REF!</f>
        <v>#REF!</v>
      </c>
      <c r="R126" s="15" t="e">
        <f>#REF!</f>
        <v>#REF!</v>
      </c>
    </row>
    <row r="127" spans="1:18" s="8" customFormat="1" ht="33.75" x14ac:dyDescent="0.25">
      <c r="A127" s="22" t="s">
        <v>329</v>
      </c>
      <c r="B127" s="21" t="s">
        <v>5</v>
      </c>
      <c r="C127" s="21" t="s">
        <v>327</v>
      </c>
      <c r="D127" s="21" t="s">
        <v>1315</v>
      </c>
      <c r="E127" s="40">
        <v>0.01</v>
      </c>
      <c r="F127" s="21" t="s">
        <v>11</v>
      </c>
      <c r="G127" s="22">
        <v>50</v>
      </c>
      <c r="H127" s="170"/>
      <c r="I127" s="15">
        <f>Medicam_Nun_e_Gomes[[#This Row],[VALOR UNID]]*Medicam_Dados[[#This Row],[QUANT]]</f>
        <v>0</v>
      </c>
      <c r="J127" s="15">
        <f>Medicam_Nun_e_Gomes[[#This Row],[VALOR MÊS ]]*12</f>
        <v>0</v>
      </c>
      <c r="M127" s="15"/>
      <c r="P127" s="15">
        <f>Medicam_Nun_e_Gomes[[#This Row],[VALOR UNID]]</f>
        <v>0</v>
      </c>
      <c r="Q127" s="15" t="e">
        <f>#REF!</f>
        <v>#REF!</v>
      </c>
      <c r="R127" s="15" t="e">
        <f>#REF!</f>
        <v>#REF!</v>
      </c>
    </row>
    <row r="128" spans="1:18" s="8" customFormat="1" ht="33.75" x14ac:dyDescent="0.25">
      <c r="A128" s="22" t="s">
        <v>330</v>
      </c>
      <c r="B128" s="21" t="s">
        <v>5</v>
      </c>
      <c r="C128" s="21" t="s">
        <v>331</v>
      </c>
      <c r="D128" s="21"/>
      <c r="E128" s="22" t="s">
        <v>332</v>
      </c>
      <c r="F128" s="21" t="s">
        <v>333</v>
      </c>
      <c r="G128" s="22">
        <v>350</v>
      </c>
      <c r="H128" s="235"/>
      <c r="I128" s="236">
        <f>Medicam_Nun_e_Gomes[[#This Row],[VALOR UNID]]/6*(Medicam_Dados[[#This Row],[QUANT]])</f>
        <v>0</v>
      </c>
      <c r="J128" s="236">
        <f>Medicam_Nun_e_Gomes[[#This Row],[VALOR MÊS ]]*12</f>
        <v>0</v>
      </c>
      <c r="M128" s="15"/>
      <c r="P128" s="15">
        <f>Medicam_Nun_e_Gomes[[#This Row],[VALOR UNID]]</f>
        <v>0</v>
      </c>
      <c r="Q128" s="15" t="e">
        <f>#REF!</f>
        <v>#REF!</v>
      </c>
      <c r="R128" s="15" t="e">
        <f>#REF!</f>
        <v>#REF!</v>
      </c>
    </row>
    <row r="129" spans="1:18" s="8" customFormat="1" ht="33.75" x14ac:dyDescent="0.25">
      <c r="A129" s="22" t="s">
        <v>334</v>
      </c>
      <c r="B129" s="21" t="s">
        <v>5</v>
      </c>
      <c r="C129" s="21" t="s">
        <v>335</v>
      </c>
      <c r="D129" s="21" t="s">
        <v>1314</v>
      </c>
      <c r="E129" s="22" t="s">
        <v>336</v>
      </c>
      <c r="F129" s="21" t="s">
        <v>283</v>
      </c>
      <c r="G129" s="22">
        <v>50</v>
      </c>
      <c r="H129" s="170"/>
      <c r="I129" s="15">
        <f>Medicam_Nun_e_Gomes[[#This Row],[VALOR UNID]]*Medicam_Dados[[#This Row],[QUANT]]</f>
        <v>0</v>
      </c>
      <c r="J129" s="15">
        <f>Medicam_Nun_e_Gomes[[#This Row],[VALOR MÊS ]]*12</f>
        <v>0</v>
      </c>
      <c r="M129" s="15"/>
      <c r="P129" s="15">
        <f>Medicam_Nun_e_Gomes[[#This Row],[VALOR UNID]]</f>
        <v>0</v>
      </c>
      <c r="Q129" s="15" t="e">
        <f>#REF!</f>
        <v>#REF!</v>
      </c>
      <c r="R129" s="15" t="e">
        <f>#REF!</f>
        <v>#REF!</v>
      </c>
    </row>
    <row r="130" spans="1:18" s="8" customFormat="1" ht="33.75" x14ac:dyDescent="0.25">
      <c r="A130" s="22" t="s">
        <v>337</v>
      </c>
      <c r="B130" s="21" t="s">
        <v>5</v>
      </c>
      <c r="C130" s="21" t="s">
        <v>338</v>
      </c>
      <c r="D130" s="21" t="s">
        <v>1252</v>
      </c>
      <c r="E130" s="41">
        <v>5.0000000000000001E-3</v>
      </c>
      <c r="F130" s="21" t="s">
        <v>299</v>
      </c>
      <c r="G130" s="22">
        <v>37</v>
      </c>
      <c r="H130" s="235"/>
      <c r="I130" s="236">
        <f>Medicam_Nun_e_Gomes[[#This Row],[VALOR UNID]]*Medicam_Dados[[#This Row],[QUANT]]</f>
        <v>0</v>
      </c>
      <c r="J130" s="236">
        <f>Medicam_Nun_e_Gomes[[#This Row],[VALOR MÊS ]]*12</f>
        <v>0</v>
      </c>
      <c r="M130" s="15"/>
      <c r="P130" s="15">
        <f>Medicam_Nun_e_Gomes[[#This Row],[VALOR UNID]]</f>
        <v>0</v>
      </c>
      <c r="Q130" s="15" t="e">
        <f>#REF!</f>
        <v>#REF!</v>
      </c>
      <c r="R130" s="15" t="e">
        <f>#REF!</f>
        <v>#REF!</v>
      </c>
    </row>
    <row r="131" spans="1:18" s="8" customFormat="1" ht="33.75" x14ac:dyDescent="0.25">
      <c r="A131" s="22" t="s">
        <v>339</v>
      </c>
      <c r="B131" s="21" t="s">
        <v>5</v>
      </c>
      <c r="C131" s="21" t="s">
        <v>340</v>
      </c>
      <c r="D131" s="21" t="s">
        <v>1250</v>
      </c>
      <c r="E131" s="22" t="s">
        <v>341</v>
      </c>
      <c r="F131" s="21" t="s">
        <v>8</v>
      </c>
      <c r="G131" s="22">
        <v>15000</v>
      </c>
      <c r="H131" s="170"/>
      <c r="I131" s="15">
        <f>Medicam_Nun_e_Gomes[[#This Row],[VALOR UNID]]*Medicam_Dados[[#This Row],[QUANT]]</f>
        <v>0</v>
      </c>
      <c r="J131" s="15">
        <f>Medicam_Nun_e_Gomes[[#This Row],[VALOR MÊS ]]*12</f>
        <v>0</v>
      </c>
      <c r="M131" s="15"/>
      <c r="P131" s="15">
        <f>Medicam_Nun_e_Gomes[[#This Row],[VALOR UNID]]</f>
        <v>0</v>
      </c>
      <c r="Q131" s="15" t="e">
        <f>#REF!</f>
        <v>#REF!</v>
      </c>
      <c r="R131" s="15" t="e">
        <f>#REF!</f>
        <v>#REF!</v>
      </c>
    </row>
    <row r="132" spans="1:18" s="8" customFormat="1" ht="33.75" x14ac:dyDescent="0.25">
      <c r="A132" s="22" t="s">
        <v>342</v>
      </c>
      <c r="B132" s="21" t="s">
        <v>5</v>
      </c>
      <c r="C132" s="21" t="s">
        <v>343</v>
      </c>
      <c r="D132" s="21" t="s">
        <v>1251</v>
      </c>
      <c r="E132" s="22" t="s">
        <v>320</v>
      </c>
      <c r="F132" s="21" t="s">
        <v>333</v>
      </c>
      <c r="G132" s="22">
        <v>30</v>
      </c>
      <c r="H132" s="235"/>
      <c r="I132" s="236">
        <f>Medicam_Nun_e_Gomes[[#This Row],[VALOR UNID]]*Medicam_Dados[[#This Row],[QUANT]]</f>
        <v>0</v>
      </c>
      <c r="J132" s="236">
        <f>Medicam_Nun_e_Gomes[[#This Row],[VALOR MÊS ]]*12</f>
        <v>0</v>
      </c>
      <c r="M132" s="15"/>
      <c r="P132" s="15">
        <f>Medicam_Nun_e_Gomes[[#This Row],[VALOR UNID]]</f>
        <v>0</v>
      </c>
      <c r="Q132" s="15" t="e">
        <f>#REF!</f>
        <v>#REF!</v>
      </c>
      <c r="R132" s="15" t="e">
        <f>#REF!</f>
        <v>#REF!</v>
      </c>
    </row>
    <row r="133" spans="1:18" s="8" customFormat="1" ht="45" x14ac:dyDescent="0.25">
      <c r="A133" s="22" t="s">
        <v>344</v>
      </c>
      <c r="B133" s="21" t="s">
        <v>347</v>
      </c>
      <c r="C133" s="21" t="s">
        <v>345</v>
      </c>
      <c r="D133" s="21" t="s">
        <v>1172</v>
      </c>
      <c r="E133" s="22" t="s">
        <v>48</v>
      </c>
      <c r="F133" s="21" t="s">
        <v>8</v>
      </c>
      <c r="G133" s="22">
        <v>106</v>
      </c>
      <c r="H133" s="170"/>
      <c r="I133" s="15">
        <f>Medicam_Nun_e_Gomes[[#This Row],[VALOR UNID]]*Medicam_Dados[[#This Row],[QUANT]]</f>
        <v>0</v>
      </c>
      <c r="J133" s="15">
        <f>Medicam_Nun_e_Gomes[[#This Row],[VALOR MÊS ]]*12</f>
        <v>0</v>
      </c>
      <c r="M133" s="15"/>
      <c r="P133" s="15">
        <f>Medicam_Nun_e_Gomes[[#This Row],[VALOR UNID]]</f>
        <v>0</v>
      </c>
      <c r="Q133" s="15" t="e">
        <f>#REF!</f>
        <v>#REF!</v>
      </c>
      <c r="R133" s="15" t="e">
        <f>#REF!</f>
        <v>#REF!</v>
      </c>
    </row>
    <row r="134" spans="1:18" s="8" customFormat="1" ht="45" x14ac:dyDescent="0.25">
      <c r="A134" s="22" t="s">
        <v>346</v>
      </c>
      <c r="B134" s="21" t="s">
        <v>347</v>
      </c>
      <c r="C134" s="21" t="s">
        <v>348</v>
      </c>
      <c r="D134" s="21" t="s">
        <v>1299</v>
      </c>
      <c r="E134" s="22" t="s">
        <v>349</v>
      </c>
      <c r="F134" s="21" t="s">
        <v>56</v>
      </c>
      <c r="G134" s="22">
        <v>100</v>
      </c>
      <c r="H134" s="235"/>
      <c r="I134" s="236">
        <f>Medicam_Nun_e_Gomes[[#This Row],[VALOR UNID]]*Medicam_Dados[[#This Row],[QUANT]]</f>
        <v>0</v>
      </c>
      <c r="J134" s="236">
        <f>Medicam_Nun_e_Gomes[[#This Row],[VALOR MÊS ]]*12</f>
        <v>0</v>
      </c>
      <c r="M134" s="15"/>
      <c r="P134" s="15">
        <f>Medicam_Nun_e_Gomes[[#This Row],[VALOR UNID]]</f>
        <v>0</v>
      </c>
      <c r="Q134" s="15" t="e">
        <f>#REF!</f>
        <v>#REF!</v>
      </c>
      <c r="R134" s="15" t="e">
        <f>#REF!</f>
        <v>#REF!</v>
      </c>
    </row>
    <row r="135" spans="1:18" s="8" customFormat="1" ht="45" x14ac:dyDescent="0.25">
      <c r="A135" s="22" t="s">
        <v>350</v>
      </c>
      <c r="B135" s="21" t="s">
        <v>347</v>
      </c>
      <c r="C135" s="21" t="s">
        <v>351</v>
      </c>
      <c r="D135" s="21" t="s">
        <v>1255</v>
      </c>
      <c r="E135" s="22" t="s">
        <v>349</v>
      </c>
      <c r="F135" s="21" t="s">
        <v>56</v>
      </c>
      <c r="G135" s="22">
        <v>20</v>
      </c>
      <c r="H135" s="170"/>
      <c r="I135" s="15">
        <f>Medicam_Nun_e_Gomes[[#This Row],[VALOR UNID]]*Medicam_Dados[[#This Row],[QUANT]]</f>
        <v>0</v>
      </c>
      <c r="J135" s="15">
        <f>Medicam_Nun_e_Gomes[[#This Row],[VALOR MÊS ]]*12</f>
        <v>0</v>
      </c>
      <c r="M135" s="15"/>
      <c r="P135" s="15">
        <f>Medicam_Nun_e_Gomes[[#This Row],[VALOR UNID]]</f>
        <v>0</v>
      </c>
      <c r="Q135" s="15" t="e">
        <f>#REF!</f>
        <v>#REF!</v>
      </c>
      <c r="R135" s="15" t="e">
        <f>#REF!</f>
        <v>#REF!</v>
      </c>
    </row>
    <row r="136" spans="1:18" s="8" customFormat="1" ht="45" x14ac:dyDescent="0.25">
      <c r="A136" s="22" t="s">
        <v>352</v>
      </c>
      <c r="B136" s="21" t="s">
        <v>347</v>
      </c>
      <c r="C136" s="21" t="s">
        <v>353</v>
      </c>
      <c r="D136" s="21" t="s">
        <v>1254</v>
      </c>
      <c r="E136" s="22" t="s">
        <v>354</v>
      </c>
      <c r="F136" s="21" t="s">
        <v>270</v>
      </c>
      <c r="G136" s="22">
        <v>15</v>
      </c>
      <c r="H136" s="235"/>
      <c r="I136" s="236">
        <f>Medicam_Nun_e_Gomes[[#This Row],[VALOR UNID]]*Medicam_Dados[[#This Row],[QUANT]]</f>
        <v>0</v>
      </c>
      <c r="J136" s="236">
        <f>Medicam_Nun_e_Gomes[[#This Row],[VALOR MÊS ]]*12</f>
        <v>0</v>
      </c>
      <c r="M136" s="15"/>
      <c r="P136" s="15">
        <f>Medicam_Nun_e_Gomes[[#This Row],[VALOR UNID]]</f>
        <v>0</v>
      </c>
      <c r="Q136" s="15" t="e">
        <f>#REF!</f>
        <v>#REF!</v>
      </c>
      <c r="R136" s="15" t="e">
        <f>#REF!</f>
        <v>#REF!</v>
      </c>
    </row>
    <row r="137" spans="1:18" s="8" customFormat="1" ht="45" x14ac:dyDescent="0.25">
      <c r="A137" s="22" t="s">
        <v>355</v>
      </c>
      <c r="B137" s="21" t="s">
        <v>347</v>
      </c>
      <c r="C137" s="21" t="s">
        <v>356</v>
      </c>
      <c r="D137" s="21" t="s">
        <v>1173</v>
      </c>
      <c r="E137" s="22" t="s">
        <v>17</v>
      </c>
      <c r="F137" s="21" t="s">
        <v>8</v>
      </c>
      <c r="G137" s="22">
        <v>250</v>
      </c>
      <c r="H137" s="170"/>
      <c r="I137" s="15">
        <f>Medicam_Nun_e_Gomes[[#This Row],[VALOR UNID]]*Medicam_Dados[[#This Row],[QUANT]]</f>
        <v>0</v>
      </c>
      <c r="J137" s="15">
        <f>Medicam_Nun_e_Gomes[[#This Row],[VALOR MÊS ]]*12</f>
        <v>0</v>
      </c>
      <c r="M137" s="15"/>
      <c r="P137" s="15">
        <f>Medicam_Nun_e_Gomes[[#This Row],[VALOR UNID]]</f>
        <v>0</v>
      </c>
      <c r="Q137" s="15" t="e">
        <f>#REF!</f>
        <v>#REF!</v>
      </c>
      <c r="R137" s="15" t="e">
        <f>#REF!</f>
        <v>#REF!</v>
      </c>
    </row>
    <row r="138" spans="1:18" s="8" customFormat="1" ht="45" x14ac:dyDescent="0.25">
      <c r="A138" s="22" t="s">
        <v>357</v>
      </c>
      <c r="B138" s="21" t="s">
        <v>347</v>
      </c>
      <c r="C138" s="21" t="s">
        <v>358</v>
      </c>
      <c r="D138" s="21" t="s">
        <v>1313</v>
      </c>
      <c r="E138" s="22" t="s">
        <v>286</v>
      </c>
      <c r="F138" s="21" t="s">
        <v>8</v>
      </c>
      <c r="G138" s="22">
        <v>50</v>
      </c>
      <c r="H138" s="235"/>
      <c r="I138" s="236">
        <f>Medicam_Nun_e_Gomes[[#This Row],[VALOR UNID]]*Medicam_Dados[[#This Row],[QUANT]]</f>
        <v>0</v>
      </c>
      <c r="J138" s="236">
        <f>Medicam_Nun_e_Gomes[[#This Row],[VALOR MÊS ]]*12</f>
        <v>0</v>
      </c>
      <c r="M138" s="15"/>
      <c r="P138" s="15">
        <f>Medicam_Nun_e_Gomes[[#This Row],[VALOR UNID]]</f>
        <v>0</v>
      </c>
      <c r="Q138" s="15" t="e">
        <f>#REF!</f>
        <v>#REF!</v>
      </c>
      <c r="R138" s="15" t="e">
        <f>#REF!</f>
        <v>#REF!</v>
      </c>
    </row>
    <row r="139" spans="1:18" s="8" customFormat="1" ht="45" x14ac:dyDescent="0.25">
      <c r="A139" s="22" t="s">
        <v>359</v>
      </c>
      <c r="B139" s="21" t="s">
        <v>347</v>
      </c>
      <c r="C139" s="21" t="s">
        <v>360</v>
      </c>
      <c r="D139" s="21" t="s">
        <v>1253</v>
      </c>
      <c r="E139" s="22" t="s">
        <v>361</v>
      </c>
      <c r="F139" s="21" t="s">
        <v>8</v>
      </c>
      <c r="G139" s="22">
        <v>1850</v>
      </c>
      <c r="H139" s="170"/>
      <c r="I139" s="15">
        <f>Medicam_Nun_e_Gomes[[#This Row],[VALOR UNID]]*Medicam_Dados[[#This Row],[QUANT]]</f>
        <v>0</v>
      </c>
      <c r="J139" s="15">
        <f>Medicam_Nun_e_Gomes[[#This Row],[VALOR MÊS ]]*12</f>
        <v>0</v>
      </c>
      <c r="M139" s="15"/>
      <c r="P139" s="15">
        <f>Medicam_Nun_e_Gomes[[#This Row],[VALOR UNID]]</f>
        <v>0</v>
      </c>
      <c r="Q139" s="15" t="e">
        <f>#REF!</f>
        <v>#REF!</v>
      </c>
      <c r="R139" s="15" t="e">
        <f>#REF!</f>
        <v>#REF!</v>
      </c>
    </row>
    <row r="140" spans="1:18" s="8" customFormat="1" ht="45" x14ac:dyDescent="0.25">
      <c r="A140" s="22" t="s">
        <v>362</v>
      </c>
      <c r="B140" s="21" t="s">
        <v>347</v>
      </c>
      <c r="C140" s="21" t="s">
        <v>363</v>
      </c>
      <c r="D140" s="21" t="s">
        <v>1174</v>
      </c>
      <c r="E140" s="22" t="s">
        <v>51</v>
      </c>
      <c r="F140" s="21" t="s">
        <v>8</v>
      </c>
      <c r="G140" s="22">
        <v>400</v>
      </c>
      <c r="H140" s="235"/>
      <c r="I140" s="236">
        <f>Medicam_Nun_e_Gomes[[#This Row],[VALOR UNID]]*Medicam_Dados[[#This Row],[QUANT]]</f>
        <v>0</v>
      </c>
      <c r="J140" s="236">
        <f>Medicam_Nun_e_Gomes[[#This Row],[VALOR MÊS ]]*12</f>
        <v>0</v>
      </c>
      <c r="M140" s="15"/>
      <c r="P140" s="15">
        <f>Medicam_Nun_e_Gomes[[#This Row],[VALOR UNID]]</f>
        <v>0</v>
      </c>
      <c r="Q140" s="15" t="e">
        <f>#REF!</f>
        <v>#REF!</v>
      </c>
      <c r="R140" s="15" t="e">
        <f>#REF!</f>
        <v>#REF!</v>
      </c>
    </row>
    <row r="141" spans="1:18" s="8" customFormat="1" ht="45" x14ac:dyDescent="0.25">
      <c r="A141" s="22" t="s">
        <v>364</v>
      </c>
      <c r="B141" s="21" t="s">
        <v>347</v>
      </c>
      <c r="C141" s="21" t="s">
        <v>365</v>
      </c>
      <c r="D141" s="21" t="s">
        <v>1175</v>
      </c>
      <c r="E141" s="22" t="s">
        <v>14</v>
      </c>
      <c r="F141" s="21" t="s">
        <v>8</v>
      </c>
      <c r="G141" s="22">
        <v>1650</v>
      </c>
      <c r="H141" s="170"/>
      <c r="I141" s="15">
        <f>Medicam_Nun_e_Gomes[[#This Row],[VALOR UNID]]/6*(Medicam_Dados[[#This Row],[QUANT]])</f>
        <v>0</v>
      </c>
      <c r="J141" s="15">
        <f>Medicam_Nun_e_Gomes[[#This Row],[VALOR MÊS ]]*12</f>
        <v>0</v>
      </c>
      <c r="M141" s="15"/>
      <c r="P141" s="15">
        <f>Medicam_Nun_e_Gomes[[#This Row],[VALOR UNID]]</f>
        <v>0</v>
      </c>
      <c r="Q141" s="15" t="e">
        <f>#REF!</f>
        <v>#REF!</v>
      </c>
      <c r="R141" s="15" t="e">
        <f>#REF!</f>
        <v>#REF!</v>
      </c>
    </row>
    <row r="142" spans="1:18" s="8" customFormat="1" ht="45" x14ac:dyDescent="0.25">
      <c r="A142" s="22" t="s">
        <v>366</v>
      </c>
      <c r="B142" s="21" t="s">
        <v>347</v>
      </c>
      <c r="C142" s="21" t="s">
        <v>365</v>
      </c>
      <c r="D142" s="21" t="s">
        <v>1176</v>
      </c>
      <c r="E142" s="22" t="s">
        <v>48</v>
      </c>
      <c r="F142" s="21" t="s">
        <v>8</v>
      </c>
      <c r="G142" s="22">
        <v>159</v>
      </c>
      <c r="H142" s="235"/>
      <c r="I142" s="236">
        <f>Medicam_Nun_e_Gomes[[#This Row],[VALOR UNID]]*Medicam_Dados[[#This Row],[QUANT]]</f>
        <v>0</v>
      </c>
      <c r="J142" s="236">
        <f>Medicam_Nun_e_Gomes[[#This Row],[VALOR MÊS ]]*12</f>
        <v>0</v>
      </c>
      <c r="M142" s="15"/>
      <c r="P142" s="15">
        <f>Medicam_Nun_e_Gomes[[#This Row],[VALOR UNID]]</f>
        <v>0</v>
      </c>
      <c r="Q142" s="15" t="e">
        <f>#REF!</f>
        <v>#REF!</v>
      </c>
      <c r="R142" s="15" t="e">
        <f>#REF!</f>
        <v>#REF!</v>
      </c>
    </row>
    <row r="143" spans="1:18" s="8" customFormat="1" ht="45" x14ac:dyDescent="0.25">
      <c r="A143" s="22" t="s">
        <v>367</v>
      </c>
      <c r="B143" s="21" t="s">
        <v>347</v>
      </c>
      <c r="C143" s="21" t="s">
        <v>368</v>
      </c>
      <c r="D143" s="21" t="s">
        <v>1312</v>
      </c>
      <c r="E143" s="22" t="s">
        <v>130</v>
      </c>
      <c r="F143" s="21" t="s">
        <v>369</v>
      </c>
      <c r="G143" s="22">
        <v>15</v>
      </c>
      <c r="H143" s="170"/>
      <c r="I143" s="15">
        <f>Medicam_Nun_e_Gomes[[#This Row],[VALOR UNID]]*Medicam_Dados[[#This Row],[QUANT]]</f>
        <v>0</v>
      </c>
      <c r="J143" s="15">
        <f>Medicam_Nun_e_Gomes[[#This Row],[VALOR MÊS ]]*12</f>
        <v>0</v>
      </c>
      <c r="M143" s="15"/>
      <c r="P143" s="15">
        <f>Medicam_Nun_e_Gomes[[#This Row],[VALOR UNID]]</f>
        <v>0</v>
      </c>
      <c r="Q143" s="15" t="e">
        <f>#REF!</f>
        <v>#REF!</v>
      </c>
      <c r="R143" s="15" t="e">
        <f>#REF!</f>
        <v>#REF!</v>
      </c>
    </row>
    <row r="144" spans="1:18" s="8" customFormat="1" ht="45" x14ac:dyDescent="0.25">
      <c r="A144" s="22" t="s">
        <v>370</v>
      </c>
      <c r="B144" s="21" t="s">
        <v>347</v>
      </c>
      <c r="C144" s="21" t="s">
        <v>368</v>
      </c>
      <c r="D144" s="21"/>
      <c r="E144" s="40">
        <v>0.1</v>
      </c>
      <c r="F144" s="21" t="s">
        <v>78</v>
      </c>
      <c r="G144" s="22">
        <v>15</v>
      </c>
      <c r="H144" s="235"/>
      <c r="I144" s="236">
        <f>Medicam_Nun_e_Gomes[[#This Row],[VALOR UNID]]*Medicam_Dados[[#This Row],[QUANT]]</f>
        <v>0</v>
      </c>
      <c r="J144" s="236">
        <f>Medicam_Nun_e_Gomes[[#This Row],[VALOR MÊS ]]*12</f>
        <v>0</v>
      </c>
      <c r="M144" s="15"/>
      <c r="P144" s="15">
        <f>Medicam_Nun_e_Gomes[[#This Row],[VALOR UNID]]</f>
        <v>0</v>
      </c>
      <c r="Q144" s="15" t="e">
        <f>#REF!</f>
        <v>#REF!</v>
      </c>
      <c r="R144" s="15" t="e">
        <f>#REF!</f>
        <v>#REF!</v>
      </c>
    </row>
    <row r="145" spans="1:18" s="8" customFormat="1" ht="45" x14ac:dyDescent="0.25">
      <c r="A145" s="22" t="s">
        <v>372</v>
      </c>
      <c r="B145" s="21" t="s">
        <v>347</v>
      </c>
      <c r="C145" s="21" t="s">
        <v>373</v>
      </c>
      <c r="D145" s="21"/>
      <c r="E145" s="40">
        <v>0.02</v>
      </c>
      <c r="F145" s="21" t="s">
        <v>40</v>
      </c>
      <c r="G145" s="22">
        <v>15</v>
      </c>
      <c r="H145" s="170"/>
      <c r="I145" s="15">
        <f>Medicam_Nun_e_Gomes[[#This Row],[VALOR UNID]]*Medicam_Dados[[#This Row],[QUANT]]</f>
        <v>0</v>
      </c>
      <c r="J145" s="15">
        <f>Medicam_Nun_e_Gomes[[#This Row],[VALOR MÊS ]]*12</f>
        <v>0</v>
      </c>
      <c r="M145" s="15"/>
      <c r="P145" s="15">
        <f>Medicam_Nun_e_Gomes[[#This Row],[VALOR UNID]]</f>
        <v>0</v>
      </c>
      <c r="Q145" s="15" t="e">
        <f>#REF!</f>
        <v>#REF!</v>
      </c>
      <c r="R145" s="15" t="e">
        <f>#REF!</f>
        <v>#REF!</v>
      </c>
    </row>
    <row r="146" spans="1:18" s="8" customFormat="1" ht="45" x14ac:dyDescent="0.25">
      <c r="A146" s="22" t="s">
        <v>374</v>
      </c>
      <c r="B146" s="21" t="s">
        <v>347</v>
      </c>
      <c r="C146" s="21" t="s">
        <v>375</v>
      </c>
      <c r="D146" s="21" t="s">
        <v>1256</v>
      </c>
      <c r="E146" s="22" t="s">
        <v>93</v>
      </c>
      <c r="F146" s="21" t="s">
        <v>8</v>
      </c>
      <c r="G146" s="22">
        <v>158</v>
      </c>
      <c r="H146" s="235"/>
      <c r="I146" s="236">
        <f>Medicam_Nun_e_Gomes[[#This Row],[VALOR UNID]]*Medicam_Dados[[#This Row],[QUANT]]</f>
        <v>0</v>
      </c>
      <c r="J146" s="236">
        <f>Medicam_Nun_e_Gomes[[#This Row],[VALOR MÊS ]]*12</f>
        <v>0</v>
      </c>
      <c r="M146" s="15"/>
      <c r="P146" s="15">
        <f>Medicam_Nun_e_Gomes[[#This Row],[VALOR UNID]]</f>
        <v>0</v>
      </c>
      <c r="Q146" s="15" t="e">
        <f>#REF!</f>
        <v>#REF!</v>
      </c>
      <c r="R146" s="15" t="e">
        <f>#REF!</f>
        <v>#REF!</v>
      </c>
    </row>
    <row r="147" spans="1:18" s="8" customFormat="1" ht="45" x14ac:dyDescent="0.25">
      <c r="A147" s="22" t="s">
        <v>376</v>
      </c>
      <c r="B147" s="21" t="s">
        <v>347</v>
      </c>
      <c r="C147" s="21" t="s">
        <v>377</v>
      </c>
      <c r="D147" s="21" t="s">
        <v>1177</v>
      </c>
      <c r="E147" s="22" t="s">
        <v>104</v>
      </c>
      <c r="F147" s="21" t="s">
        <v>8</v>
      </c>
      <c r="G147" s="22">
        <v>4400</v>
      </c>
      <c r="H147" s="170"/>
      <c r="I147" s="15">
        <f>Medicam_Nun_e_Gomes[[#This Row],[VALOR UNID]]*Medicam_Dados[[#This Row],[QUANT]]</f>
        <v>0</v>
      </c>
      <c r="J147" s="15">
        <f>Medicam_Nun_e_Gomes[[#This Row],[VALOR MÊS ]]*12</f>
        <v>0</v>
      </c>
      <c r="M147" s="15"/>
      <c r="P147" s="15">
        <f>Medicam_Nun_e_Gomes[[#This Row],[VALOR UNID]]</f>
        <v>0</v>
      </c>
      <c r="Q147" s="15" t="e">
        <f>#REF!</f>
        <v>#REF!</v>
      </c>
      <c r="R147" s="15" t="e">
        <f>#REF!</f>
        <v>#REF!</v>
      </c>
    </row>
    <row r="148" spans="1:18" s="8" customFormat="1" ht="45" x14ac:dyDescent="0.25">
      <c r="A148" s="22" t="s">
        <v>378</v>
      </c>
      <c r="B148" s="21" t="s">
        <v>347</v>
      </c>
      <c r="C148" s="21" t="s">
        <v>379</v>
      </c>
      <c r="D148" s="21" t="s">
        <v>1178</v>
      </c>
      <c r="E148" s="22" t="s">
        <v>69</v>
      </c>
      <c r="F148" s="21" t="s">
        <v>8</v>
      </c>
      <c r="G148" s="22">
        <v>8500</v>
      </c>
      <c r="H148" s="235"/>
      <c r="I148" s="236">
        <f>Medicam_Nun_e_Gomes[[#This Row],[VALOR UNID]]/6*(Medicam_Dados[[#This Row],[QUANT]])</f>
        <v>0</v>
      </c>
      <c r="J148" s="236">
        <f>Medicam_Nun_e_Gomes[[#This Row],[VALOR MÊS ]]*12</f>
        <v>0</v>
      </c>
      <c r="M148" s="15"/>
      <c r="P148" s="15">
        <f>Medicam_Nun_e_Gomes[[#This Row],[VALOR UNID]]</f>
        <v>0</v>
      </c>
      <c r="Q148" s="15" t="e">
        <f>#REF!</f>
        <v>#REF!</v>
      </c>
      <c r="R148" s="15" t="e">
        <f>#REF!</f>
        <v>#REF!</v>
      </c>
    </row>
    <row r="149" spans="1:18" s="8" customFormat="1" ht="45" x14ac:dyDescent="0.25">
      <c r="A149" s="22" t="s">
        <v>380</v>
      </c>
      <c r="B149" s="21" t="s">
        <v>347</v>
      </c>
      <c r="C149" s="21" t="s">
        <v>381</v>
      </c>
      <c r="D149" s="21" t="s">
        <v>1179</v>
      </c>
      <c r="E149" s="40">
        <v>0.2</v>
      </c>
      <c r="F149" s="21" t="s">
        <v>382</v>
      </c>
      <c r="G149" s="22">
        <v>100</v>
      </c>
      <c r="H149" s="170"/>
      <c r="I149" s="15">
        <f>Medicam_Nun_e_Gomes[[#This Row],[VALOR UNID]]/6*(Medicam_Dados[[#This Row],[QUANT]])</f>
        <v>0</v>
      </c>
      <c r="J149" s="15">
        <f>Medicam_Nun_e_Gomes[[#This Row],[VALOR MÊS ]]*12</f>
        <v>0</v>
      </c>
      <c r="M149" s="15"/>
      <c r="P149" s="15">
        <f>Medicam_Nun_e_Gomes[[#This Row],[VALOR UNID]]</f>
        <v>0</v>
      </c>
      <c r="Q149" s="15" t="e">
        <f>#REF!</f>
        <v>#REF!</v>
      </c>
      <c r="R149" s="15" t="e">
        <f>#REF!</f>
        <v>#REF!</v>
      </c>
    </row>
    <row r="150" spans="1:18" s="8" customFormat="1" ht="45" x14ac:dyDescent="0.25">
      <c r="A150" s="22" t="s">
        <v>383</v>
      </c>
      <c r="B150" s="21" t="s">
        <v>347</v>
      </c>
      <c r="C150" s="21" t="s">
        <v>384</v>
      </c>
      <c r="D150" s="21" t="s">
        <v>1180</v>
      </c>
      <c r="E150" s="22" t="s">
        <v>51</v>
      </c>
      <c r="F150" s="21" t="s">
        <v>8</v>
      </c>
      <c r="G150" s="22">
        <v>53</v>
      </c>
      <c r="H150" s="235"/>
      <c r="I150" s="236">
        <f>Medicam_Nun_e_Gomes[[#This Row],[VALOR UNID]]/6*(Medicam_Dados[[#This Row],[QUANT]])</f>
        <v>0</v>
      </c>
      <c r="J150" s="236">
        <f>Medicam_Nun_e_Gomes[[#This Row],[VALOR MÊS ]]*12</f>
        <v>0</v>
      </c>
      <c r="M150" s="15"/>
      <c r="P150" s="15">
        <f>Medicam_Nun_e_Gomes[[#This Row],[VALOR UNID]]</f>
        <v>0</v>
      </c>
      <c r="Q150" s="15" t="e">
        <f>#REF!</f>
        <v>#REF!</v>
      </c>
      <c r="R150" s="15" t="e">
        <f>#REF!</f>
        <v>#REF!</v>
      </c>
    </row>
    <row r="151" spans="1:18" s="8" customFormat="1" ht="45" x14ac:dyDescent="0.25">
      <c r="A151" s="22" t="s">
        <v>385</v>
      </c>
      <c r="B151" s="21" t="s">
        <v>347</v>
      </c>
      <c r="C151" s="21" t="s">
        <v>384</v>
      </c>
      <c r="D151" s="21" t="s">
        <v>1181</v>
      </c>
      <c r="E151" s="22" t="s">
        <v>386</v>
      </c>
      <c r="F151" s="21" t="s">
        <v>8</v>
      </c>
      <c r="G151" s="22">
        <v>5000</v>
      </c>
      <c r="H151" s="170"/>
      <c r="I151" s="15">
        <f>Medicam_Nun_e_Gomes[[#This Row],[VALOR UNID]]/6*(Medicam_Dados[[#This Row],[QUANT]])</f>
        <v>0</v>
      </c>
      <c r="J151" s="15">
        <f>Medicam_Nun_e_Gomes[[#This Row],[VALOR MÊS ]]*12</f>
        <v>0</v>
      </c>
      <c r="M151" s="15"/>
      <c r="P151" s="15">
        <f>Medicam_Nun_e_Gomes[[#This Row],[VALOR UNID]]</f>
        <v>0</v>
      </c>
      <c r="Q151" s="15" t="e">
        <f>#REF!</f>
        <v>#REF!</v>
      </c>
      <c r="R151" s="15" t="e">
        <f>#REF!</f>
        <v>#REF!</v>
      </c>
    </row>
    <row r="152" spans="1:18" s="8" customFormat="1" ht="45" x14ac:dyDescent="0.25">
      <c r="A152" s="22" t="s">
        <v>387</v>
      </c>
      <c r="B152" s="21" t="s">
        <v>347</v>
      </c>
      <c r="C152" s="21" t="s">
        <v>388</v>
      </c>
      <c r="D152" s="21" t="s">
        <v>1182</v>
      </c>
      <c r="E152" s="22" t="s">
        <v>389</v>
      </c>
      <c r="F152" s="21" t="s">
        <v>8</v>
      </c>
      <c r="G152" s="22">
        <v>225</v>
      </c>
      <c r="H152" s="235"/>
      <c r="I152" s="236">
        <f>Medicam_Nun_e_Gomes[[#This Row],[VALOR UNID]]*Medicam_Dados[[#This Row],[QUANT]]</f>
        <v>0</v>
      </c>
      <c r="J152" s="236">
        <f>Medicam_Nun_e_Gomes[[#This Row],[VALOR MÊS ]]*12</f>
        <v>0</v>
      </c>
      <c r="M152" s="15"/>
      <c r="P152" s="15">
        <f>Medicam_Nun_e_Gomes[[#This Row],[VALOR UNID]]</f>
        <v>0</v>
      </c>
      <c r="Q152" s="15" t="e">
        <f>#REF!</f>
        <v>#REF!</v>
      </c>
      <c r="R152" s="15" t="e">
        <f>#REF!</f>
        <v>#REF!</v>
      </c>
    </row>
    <row r="153" spans="1:18" s="8" customFormat="1" ht="45" x14ac:dyDescent="0.25">
      <c r="A153" s="22" t="s">
        <v>390</v>
      </c>
      <c r="B153" s="21" t="s">
        <v>347</v>
      </c>
      <c r="C153" s="21" t="s">
        <v>391</v>
      </c>
      <c r="D153" s="21" t="s">
        <v>1300</v>
      </c>
      <c r="E153" s="22" t="s">
        <v>269</v>
      </c>
      <c r="F153" s="21" t="s">
        <v>40</v>
      </c>
      <c r="G153" s="22">
        <v>100</v>
      </c>
      <c r="H153" s="170"/>
      <c r="I153" s="15">
        <f>Medicam_Nun_e_Gomes[[#This Row],[VALOR UNID]]*Medicam_Dados[[#This Row],[QUANT]]</f>
        <v>0</v>
      </c>
      <c r="J153" s="15">
        <f>Medicam_Nun_e_Gomes[[#This Row],[VALOR MÊS ]]*12</f>
        <v>0</v>
      </c>
      <c r="M153" s="15"/>
      <c r="P153" s="15">
        <f>Medicam_Nun_e_Gomes[[#This Row],[VALOR UNID]]</f>
        <v>0</v>
      </c>
      <c r="Q153" s="15" t="e">
        <f>#REF!</f>
        <v>#REF!</v>
      </c>
      <c r="R153" s="15" t="e">
        <f>#REF!</f>
        <v>#REF!</v>
      </c>
    </row>
    <row r="154" spans="1:18" s="8" customFormat="1" ht="45" x14ac:dyDescent="0.25">
      <c r="A154" s="22" t="s">
        <v>392</v>
      </c>
      <c r="B154" s="21" t="s">
        <v>347</v>
      </c>
      <c r="C154" s="21" t="s">
        <v>393</v>
      </c>
      <c r="D154" s="21" t="s">
        <v>1183</v>
      </c>
      <c r="E154" s="22" t="s">
        <v>394</v>
      </c>
      <c r="F154" s="21" t="s">
        <v>8</v>
      </c>
      <c r="G154" s="22">
        <v>120</v>
      </c>
      <c r="H154" s="235"/>
      <c r="I154" s="236">
        <f>Medicam_Nun_e_Gomes[[#This Row],[VALOR UNID]]*Medicam_Dados[[#This Row],[QUANT]]</f>
        <v>0</v>
      </c>
      <c r="J154" s="236">
        <f>Medicam_Nun_e_Gomes[[#This Row],[VALOR MÊS ]]*12</f>
        <v>0</v>
      </c>
      <c r="M154" s="15"/>
      <c r="P154" s="15">
        <f>Medicam_Nun_e_Gomes[[#This Row],[VALOR UNID]]</f>
        <v>0</v>
      </c>
      <c r="Q154" s="15" t="e">
        <f>#REF!</f>
        <v>#REF!</v>
      </c>
      <c r="R154" s="15" t="e">
        <f>#REF!</f>
        <v>#REF!</v>
      </c>
    </row>
    <row r="155" spans="1:18" s="8" customFormat="1" ht="45" x14ac:dyDescent="0.25">
      <c r="A155" s="22" t="s">
        <v>395</v>
      </c>
      <c r="B155" s="21" t="s">
        <v>347</v>
      </c>
      <c r="C155" s="21" t="s">
        <v>396</v>
      </c>
      <c r="D155" s="21" t="s">
        <v>1311</v>
      </c>
      <c r="E155" s="22" t="s">
        <v>389</v>
      </c>
      <c r="F155" s="21" t="s">
        <v>8</v>
      </c>
      <c r="G155" s="22">
        <v>175</v>
      </c>
      <c r="H155" s="170"/>
      <c r="I155" s="15">
        <f>Medicam_Nun_e_Gomes[[#This Row],[VALOR UNID]]*Medicam_Dados[[#This Row],[QUANT]]</f>
        <v>0</v>
      </c>
      <c r="J155" s="15">
        <f>Medicam_Nun_e_Gomes[[#This Row],[VALOR MÊS ]]*12</f>
        <v>0</v>
      </c>
      <c r="M155" s="15"/>
      <c r="P155" s="15">
        <f>Medicam_Nun_e_Gomes[[#This Row],[VALOR UNID]]</f>
        <v>0</v>
      </c>
      <c r="Q155" s="15" t="e">
        <f>#REF!</f>
        <v>#REF!</v>
      </c>
      <c r="R155" s="15" t="e">
        <f>#REF!</f>
        <v>#REF!</v>
      </c>
    </row>
    <row r="156" spans="1:18" s="8" customFormat="1" ht="45" x14ac:dyDescent="0.25">
      <c r="A156" s="22" t="s">
        <v>397</v>
      </c>
      <c r="B156" s="21" t="s">
        <v>347</v>
      </c>
      <c r="C156" s="21" t="s">
        <v>396</v>
      </c>
      <c r="D156" s="21" t="s">
        <v>1310</v>
      </c>
      <c r="E156" s="22" t="s">
        <v>398</v>
      </c>
      <c r="F156" s="21" t="s">
        <v>399</v>
      </c>
      <c r="G156" s="22">
        <v>3</v>
      </c>
      <c r="H156" s="235"/>
      <c r="I156" s="236">
        <f>Medicam_Nun_e_Gomes[[#This Row],[VALOR UNID]]*Medicam_Dados[[#This Row],[QUANT]]</f>
        <v>0</v>
      </c>
      <c r="J156" s="236">
        <f>Medicam_Nun_e_Gomes[[#This Row],[VALOR MÊS ]]*12</f>
        <v>0</v>
      </c>
      <c r="M156" s="15"/>
      <c r="P156" s="15">
        <f>Medicam_Nun_e_Gomes[[#This Row],[VALOR UNID]]</f>
        <v>0</v>
      </c>
      <c r="Q156" s="15" t="e">
        <f>#REF!</f>
        <v>#REF!</v>
      </c>
      <c r="R156" s="15" t="e">
        <f>#REF!</f>
        <v>#REF!</v>
      </c>
    </row>
    <row r="157" spans="1:18" s="8" customFormat="1" ht="45" x14ac:dyDescent="0.25">
      <c r="A157" s="22" t="s">
        <v>400</v>
      </c>
      <c r="B157" s="21" t="s">
        <v>347</v>
      </c>
      <c r="C157" s="21" t="s">
        <v>401</v>
      </c>
      <c r="D157" s="21" t="s">
        <v>1309</v>
      </c>
      <c r="E157" s="22" t="s">
        <v>130</v>
      </c>
      <c r="F157" s="21" t="s">
        <v>11</v>
      </c>
      <c r="G157" s="22">
        <v>30</v>
      </c>
      <c r="H157" s="170"/>
      <c r="I157" s="15">
        <f>Medicam_Nun_e_Gomes[[#This Row],[VALOR UNID]]*Medicam_Dados[[#This Row],[QUANT]]</f>
        <v>0</v>
      </c>
      <c r="J157" s="15">
        <f>Medicam_Nun_e_Gomes[[#This Row],[VALOR MÊS ]]*12</f>
        <v>0</v>
      </c>
      <c r="M157" s="15"/>
      <c r="P157" s="15">
        <f>Medicam_Nun_e_Gomes[[#This Row],[VALOR UNID]]</f>
        <v>0</v>
      </c>
      <c r="Q157" s="15" t="e">
        <f>#REF!</f>
        <v>#REF!</v>
      </c>
      <c r="R157" s="15" t="e">
        <f>#REF!</f>
        <v>#REF!</v>
      </c>
    </row>
    <row r="158" spans="1:18" s="8" customFormat="1" ht="45" x14ac:dyDescent="0.25">
      <c r="A158" s="22" t="s">
        <v>402</v>
      </c>
      <c r="B158" s="21" t="s">
        <v>347</v>
      </c>
      <c r="C158" s="21" t="s">
        <v>403</v>
      </c>
      <c r="D158" s="21" t="s">
        <v>1308</v>
      </c>
      <c r="E158" s="22" t="s">
        <v>404</v>
      </c>
      <c r="F158" s="21" t="s">
        <v>405</v>
      </c>
      <c r="G158" s="22">
        <v>80</v>
      </c>
      <c r="H158" s="235"/>
      <c r="I158" s="236">
        <f>Medicam_Nun_e_Gomes[[#This Row],[VALOR UNID]]*Medicam_Dados[[#This Row],[QUANT]]</f>
        <v>0</v>
      </c>
      <c r="J158" s="236">
        <f>Medicam_Nun_e_Gomes[[#This Row],[VALOR MÊS ]]*12</f>
        <v>0</v>
      </c>
      <c r="M158" s="15"/>
      <c r="P158" s="15">
        <f>Medicam_Nun_e_Gomes[[#This Row],[VALOR UNID]]</f>
        <v>0</v>
      </c>
      <c r="Q158" s="15" t="e">
        <f>#REF!</f>
        <v>#REF!</v>
      </c>
      <c r="R158" s="15" t="e">
        <f>#REF!</f>
        <v>#REF!</v>
      </c>
    </row>
    <row r="159" spans="1:18" s="8" customFormat="1" ht="45" x14ac:dyDescent="0.25">
      <c r="A159" s="22" t="s">
        <v>406</v>
      </c>
      <c r="B159" s="21" t="s">
        <v>347</v>
      </c>
      <c r="C159" s="21" t="s">
        <v>407</v>
      </c>
      <c r="D159" s="21" t="s">
        <v>1257</v>
      </c>
      <c r="E159" s="22" t="s">
        <v>269</v>
      </c>
      <c r="F159" s="21" t="s">
        <v>40</v>
      </c>
      <c r="G159" s="22">
        <v>15</v>
      </c>
      <c r="H159" s="170"/>
      <c r="I159" s="15">
        <f>Medicam_Nun_e_Gomes[[#This Row],[VALOR UNID]]*Medicam_Dados[[#This Row],[QUANT]]</f>
        <v>0</v>
      </c>
      <c r="J159" s="15">
        <f>Medicam_Nun_e_Gomes[[#This Row],[VALOR MÊS ]]*12</f>
        <v>0</v>
      </c>
      <c r="M159" s="15"/>
      <c r="P159" s="15">
        <f>Medicam_Nun_e_Gomes[[#This Row],[VALOR UNID]]</f>
        <v>0</v>
      </c>
      <c r="Q159" s="15" t="e">
        <f>#REF!</f>
        <v>#REF!</v>
      </c>
      <c r="R159" s="15" t="e">
        <f>#REF!</f>
        <v>#REF!</v>
      </c>
    </row>
    <row r="160" spans="1:18" s="8" customFormat="1" ht="45" x14ac:dyDescent="0.25">
      <c r="A160" s="22" t="s">
        <v>408</v>
      </c>
      <c r="B160" s="21" t="s">
        <v>347</v>
      </c>
      <c r="C160" s="21" t="s">
        <v>409</v>
      </c>
      <c r="D160" s="21" t="s">
        <v>1258</v>
      </c>
      <c r="E160" s="22" t="s">
        <v>410</v>
      </c>
      <c r="F160" s="21" t="s">
        <v>8</v>
      </c>
      <c r="G160" s="22">
        <v>175</v>
      </c>
      <c r="H160" s="235"/>
      <c r="I160" s="236">
        <f>Medicam_Nun_e_Gomes[[#This Row],[VALOR UNID]]*Medicam_Dados[[#This Row],[QUANT]]</f>
        <v>0</v>
      </c>
      <c r="J160" s="236">
        <f>Medicam_Nun_e_Gomes[[#This Row],[VALOR MÊS ]]*12</f>
        <v>0</v>
      </c>
      <c r="M160" s="15"/>
      <c r="P160" s="15">
        <f>Medicam_Nun_e_Gomes[[#This Row],[VALOR UNID]]</f>
        <v>0</v>
      </c>
      <c r="Q160" s="15" t="e">
        <f>#REF!</f>
        <v>#REF!</v>
      </c>
      <c r="R160" s="15" t="e">
        <f>#REF!</f>
        <v>#REF!</v>
      </c>
    </row>
    <row r="161" spans="1:18" s="8" customFormat="1" ht="45" x14ac:dyDescent="0.25">
      <c r="A161" s="22" t="s">
        <v>411</v>
      </c>
      <c r="B161" s="21" t="s">
        <v>347</v>
      </c>
      <c r="C161" s="21" t="s">
        <v>412</v>
      </c>
      <c r="D161" s="21" t="s">
        <v>1260</v>
      </c>
      <c r="E161" s="22" t="s">
        <v>198</v>
      </c>
      <c r="F161" s="21" t="s">
        <v>40</v>
      </c>
      <c r="G161" s="22">
        <v>30</v>
      </c>
      <c r="H161" s="170"/>
      <c r="I161" s="15">
        <f>Medicam_Nun_e_Gomes[[#This Row],[VALOR UNID]]/6*(Medicam_Dados[[#This Row],[QUANT]])</f>
        <v>0</v>
      </c>
      <c r="J161" s="15">
        <f>Medicam_Nun_e_Gomes[[#This Row],[VALOR MÊS ]]*12</f>
        <v>0</v>
      </c>
      <c r="M161" s="15"/>
      <c r="P161" s="15">
        <f>Medicam_Nun_e_Gomes[[#This Row],[VALOR UNID]]</f>
        <v>0</v>
      </c>
      <c r="Q161" s="15" t="e">
        <f>#REF!</f>
        <v>#REF!</v>
      </c>
      <c r="R161" s="15" t="e">
        <f>#REF!</f>
        <v>#REF!</v>
      </c>
    </row>
    <row r="162" spans="1:18" s="8" customFormat="1" ht="45" x14ac:dyDescent="0.25">
      <c r="A162" s="22" t="s">
        <v>413</v>
      </c>
      <c r="B162" s="21" t="s">
        <v>347</v>
      </c>
      <c r="C162" s="21" t="s">
        <v>414</v>
      </c>
      <c r="D162" s="21" t="s">
        <v>1184</v>
      </c>
      <c r="E162" s="22" t="s">
        <v>130</v>
      </c>
      <c r="F162" s="21" t="s">
        <v>185</v>
      </c>
      <c r="G162" s="22">
        <v>26</v>
      </c>
      <c r="H162" s="235"/>
      <c r="I162" s="236">
        <f>Medicam_Nun_e_Gomes[[#This Row],[VALOR UNID]]*Medicam_Dados[[#This Row],[QUANT]]</f>
        <v>0</v>
      </c>
      <c r="J162" s="236">
        <f>Medicam_Nun_e_Gomes[[#This Row],[VALOR MÊS ]]*12</f>
        <v>0</v>
      </c>
      <c r="M162" s="15"/>
      <c r="P162" s="15">
        <f>Medicam_Nun_e_Gomes[[#This Row],[VALOR UNID]]</f>
        <v>0</v>
      </c>
      <c r="Q162" s="15" t="e">
        <f>#REF!</f>
        <v>#REF!</v>
      </c>
      <c r="R162" s="15" t="e">
        <f>#REF!</f>
        <v>#REF!</v>
      </c>
    </row>
    <row r="163" spans="1:18" s="8" customFormat="1" ht="45" x14ac:dyDescent="0.25">
      <c r="A163" s="22" t="s">
        <v>415</v>
      </c>
      <c r="B163" s="21" t="s">
        <v>347</v>
      </c>
      <c r="C163" s="21" t="s">
        <v>416</v>
      </c>
      <c r="D163" s="21" t="s">
        <v>1185</v>
      </c>
      <c r="E163" s="22" t="s">
        <v>417</v>
      </c>
      <c r="F163" s="21" t="s">
        <v>40</v>
      </c>
      <c r="G163" s="22">
        <v>15</v>
      </c>
      <c r="H163" s="170"/>
      <c r="I163" s="15">
        <f>Medicam_Nun_e_Gomes[[#This Row],[VALOR UNID]]*Medicam_Dados[[#This Row],[QUANT]]</f>
        <v>0</v>
      </c>
      <c r="J163" s="15">
        <f>Medicam_Nun_e_Gomes[[#This Row],[VALOR MÊS ]]*12</f>
        <v>0</v>
      </c>
      <c r="M163" s="15"/>
      <c r="P163" s="15">
        <f>Medicam_Nun_e_Gomes[[#This Row],[VALOR UNID]]</f>
        <v>0</v>
      </c>
      <c r="Q163" s="15" t="e">
        <f>#REF!</f>
        <v>#REF!</v>
      </c>
      <c r="R163" s="15" t="e">
        <f>#REF!</f>
        <v>#REF!</v>
      </c>
    </row>
    <row r="164" spans="1:18" s="8" customFormat="1" ht="45" x14ac:dyDescent="0.25">
      <c r="A164" s="22" t="s">
        <v>418</v>
      </c>
      <c r="B164" s="21" t="s">
        <v>347</v>
      </c>
      <c r="C164" s="21" t="s">
        <v>419</v>
      </c>
      <c r="D164" s="21" t="s">
        <v>1186</v>
      </c>
      <c r="E164" s="22" t="s">
        <v>420</v>
      </c>
      <c r="F164" s="21" t="s">
        <v>421</v>
      </c>
      <c r="G164" s="22">
        <v>1586</v>
      </c>
      <c r="H164" s="235"/>
      <c r="I164" s="236">
        <f>Medicam_Nun_e_Gomes[[#This Row],[VALOR UNID]]*Medicam_Dados[[#This Row],[QUANT]]</f>
        <v>0</v>
      </c>
      <c r="J164" s="236">
        <f>Medicam_Nun_e_Gomes[[#This Row],[VALOR MÊS ]]*12</f>
        <v>0</v>
      </c>
      <c r="M164" s="15"/>
      <c r="P164" s="15">
        <f>Medicam_Nun_e_Gomes[[#This Row],[VALOR UNID]]</f>
        <v>0</v>
      </c>
      <c r="Q164" s="15" t="e">
        <f>#REF!</f>
        <v>#REF!</v>
      </c>
      <c r="R164" s="15" t="e">
        <f>#REF!</f>
        <v>#REF!</v>
      </c>
    </row>
    <row r="165" spans="1:18" s="8" customFormat="1" ht="45" x14ac:dyDescent="0.25">
      <c r="A165" s="22" t="s">
        <v>422</v>
      </c>
      <c r="B165" s="21" t="s">
        <v>347</v>
      </c>
      <c r="C165" s="21" t="s">
        <v>423</v>
      </c>
      <c r="D165" s="21" t="s">
        <v>1187</v>
      </c>
      <c r="E165" s="22" t="s">
        <v>104</v>
      </c>
      <c r="F165" s="21" t="s">
        <v>8</v>
      </c>
      <c r="G165" s="22">
        <v>500</v>
      </c>
      <c r="H165" s="170"/>
      <c r="I165" s="15">
        <f>Medicam_Nun_e_Gomes[[#This Row],[VALOR UNID]]*Medicam_Dados[[#This Row],[QUANT]]</f>
        <v>0</v>
      </c>
      <c r="J165" s="15">
        <f>Medicam_Nun_e_Gomes[[#This Row],[VALOR MÊS ]]*12</f>
        <v>0</v>
      </c>
      <c r="M165" s="15"/>
      <c r="P165" s="15">
        <f>Medicam_Nun_e_Gomes[[#This Row],[VALOR UNID]]</f>
        <v>0</v>
      </c>
      <c r="Q165" s="15" t="e">
        <f>#REF!</f>
        <v>#REF!</v>
      </c>
      <c r="R165" s="15" t="e">
        <f>#REF!</f>
        <v>#REF!</v>
      </c>
    </row>
    <row r="166" spans="1:18" s="8" customFormat="1" ht="33.75" x14ac:dyDescent="0.25">
      <c r="A166" s="22" t="s">
        <v>424</v>
      </c>
      <c r="B166" s="21" t="s">
        <v>425</v>
      </c>
      <c r="C166" s="21" t="s">
        <v>426</v>
      </c>
      <c r="D166" s="21" t="s">
        <v>1188</v>
      </c>
      <c r="E166" s="22" t="s">
        <v>14</v>
      </c>
      <c r="F166" s="21" t="s">
        <v>8</v>
      </c>
      <c r="G166" s="22">
        <v>500</v>
      </c>
      <c r="H166" s="235"/>
      <c r="I166" s="236">
        <f>Medicam_Nun_e_Gomes[[#This Row],[VALOR UNID]]/6*(Medicam_Dados[[#This Row],[QUANT]])</f>
        <v>0</v>
      </c>
      <c r="J166" s="236">
        <f>Medicam_Nun_e_Gomes[[#This Row],[VALOR MÊS ]]*12</f>
        <v>0</v>
      </c>
      <c r="M166" s="15"/>
      <c r="P166" s="15">
        <f>Medicam_Nun_e_Gomes[[#This Row],[VALOR UNID]]</f>
        <v>0</v>
      </c>
      <c r="Q166" s="15" t="e">
        <f>#REF!</f>
        <v>#REF!</v>
      </c>
      <c r="R166" s="15" t="e">
        <f>#REF!</f>
        <v>#REF!</v>
      </c>
    </row>
    <row r="167" spans="1:18" s="8" customFormat="1" ht="33.75" x14ac:dyDescent="0.25">
      <c r="A167" s="22" t="s">
        <v>427</v>
      </c>
      <c r="B167" s="21" t="s">
        <v>425</v>
      </c>
      <c r="C167" s="21" t="s">
        <v>428</v>
      </c>
      <c r="D167" s="21" t="s">
        <v>1189</v>
      </c>
      <c r="E167" s="22" t="s">
        <v>429</v>
      </c>
      <c r="F167" s="21" t="s">
        <v>421</v>
      </c>
      <c r="G167" s="22">
        <v>53</v>
      </c>
      <c r="H167" s="170"/>
      <c r="I167" s="15">
        <f>Medicam_Nun_e_Gomes[[#This Row],[VALOR UNID]]*Medicam_Dados[[#This Row],[QUANT]]</f>
        <v>0</v>
      </c>
      <c r="J167" s="15">
        <f>Medicam_Nun_e_Gomes[[#This Row],[VALOR MÊS ]]*12</f>
        <v>0</v>
      </c>
      <c r="M167" s="15"/>
      <c r="P167" s="15">
        <f>Medicam_Nun_e_Gomes[[#This Row],[VALOR UNID]]</f>
        <v>0</v>
      </c>
      <c r="Q167" s="15" t="e">
        <f>#REF!</f>
        <v>#REF!</v>
      </c>
      <c r="R167" s="15" t="e">
        <f>#REF!</f>
        <v>#REF!</v>
      </c>
    </row>
    <row r="168" spans="1:18" s="8" customFormat="1" ht="33.75" x14ac:dyDescent="0.25">
      <c r="A168" s="22" t="s">
        <v>430</v>
      </c>
      <c r="B168" s="21" t="s">
        <v>5</v>
      </c>
      <c r="C168" s="21" t="s">
        <v>431</v>
      </c>
      <c r="D168" s="21" t="s">
        <v>1190</v>
      </c>
      <c r="E168" s="22" t="s">
        <v>432</v>
      </c>
      <c r="F168" s="21" t="s">
        <v>333</v>
      </c>
      <c r="G168" s="22">
        <v>5</v>
      </c>
      <c r="H168" s="235"/>
      <c r="I168" s="236">
        <f>Medicam_Nun_e_Gomes[[#This Row],[VALOR UNID]]/6*(Medicam_Dados[[#This Row],[QUANT]])</f>
        <v>0</v>
      </c>
      <c r="J168" s="236">
        <f>Medicam_Nun_e_Gomes[[#This Row],[VALOR MÊS ]]*12</f>
        <v>0</v>
      </c>
      <c r="M168" s="15"/>
      <c r="P168" s="15">
        <f>Medicam_Nun_e_Gomes[[#This Row],[VALOR UNID]]</f>
        <v>0</v>
      </c>
      <c r="Q168" s="15" t="e">
        <f>#REF!</f>
        <v>#REF!</v>
      </c>
      <c r="R168" s="15" t="e">
        <f>#REF!</f>
        <v>#REF!</v>
      </c>
    </row>
    <row r="169" spans="1:18" s="8" customFormat="1" ht="33.75" x14ac:dyDescent="0.25">
      <c r="A169" s="22" t="s">
        <v>433</v>
      </c>
      <c r="B169" s="21" t="s">
        <v>425</v>
      </c>
      <c r="C169" s="21" t="s">
        <v>434</v>
      </c>
      <c r="D169" s="21" t="s">
        <v>1307</v>
      </c>
      <c r="E169" s="22" t="s">
        <v>435</v>
      </c>
      <c r="F169" s="21" t="s">
        <v>421</v>
      </c>
      <c r="G169" s="22">
        <v>159</v>
      </c>
      <c r="H169" s="170"/>
      <c r="I169" s="15">
        <f>Medicam_Nun_e_Gomes[[#This Row],[VALOR UNID]]*Medicam_Dados[[#This Row],[QUANT]]</f>
        <v>0</v>
      </c>
      <c r="J169" s="15">
        <f>Medicam_Nun_e_Gomes[[#This Row],[VALOR MÊS ]]*12</f>
        <v>0</v>
      </c>
      <c r="M169" s="15"/>
      <c r="P169" s="15">
        <f>Medicam_Nun_e_Gomes[[#This Row],[VALOR UNID]]</f>
        <v>0</v>
      </c>
      <c r="Q169" s="15" t="e">
        <f>#REF!</f>
        <v>#REF!</v>
      </c>
      <c r="R169" s="15" t="e">
        <f>#REF!</f>
        <v>#REF!</v>
      </c>
    </row>
    <row r="170" spans="1:18" s="8" customFormat="1" ht="33.75" x14ac:dyDescent="0.25">
      <c r="A170" s="22" t="s">
        <v>436</v>
      </c>
      <c r="B170" s="21" t="s">
        <v>425</v>
      </c>
      <c r="C170" s="21" t="s">
        <v>437</v>
      </c>
      <c r="D170" s="21" t="s">
        <v>1306</v>
      </c>
      <c r="E170" s="22" t="s">
        <v>438</v>
      </c>
      <c r="F170" s="21" t="s">
        <v>40</v>
      </c>
      <c r="G170" s="22">
        <v>10</v>
      </c>
      <c r="H170" s="235"/>
      <c r="I170" s="236">
        <f>Medicam_Nun_e_Gomes[[#This Row],[VALOR UNID]]/6*(Medicam_Dados[[#This Row],[QUANT]])</f>
        <v>0</v>
      </c>
      <c r="J170" s="236">
        <f>Medicam_Nun_e_Gomes[[#This Row],[VALOR MÊS ]]*12</f>
        <v>0</v>
      </c>
      <c r="M170" s="15"/>
      <c r="P170" s="15">
        <f>Medicam_Nun_e_Gomes[[#This Row],[VALOR UNID]]</f>
        <v>0</v>
      </c>
      <c r="Q170" s="15" t="e">
        <f>#REF!</f>
        <v>#REF!</v>
      </c>
      <c r="R170" s="15" t="e">
        <f>#REF!</f>
        <v>#REF!</v>
      </c>
    </row>
    <row r="171" spans="1:18" s="8" customFormat="1" ht="33.75" x14ac:dyDescent="0.25">
      <c r="A171" s="22" t="s">
        <v>439</v>
      </c>
      <c r="B171" s="21" t="s">
        <v>425</v>
      </c>
      <c r="C171" s="21" t="s">
        <v>440</v>
      </c>
      <c r="D171" s="21"/>
      <c r="E171" s="22" t="s">
        <v>191</v>
      </c>
      <c r="F171" s="21" t="s">
        <v>20</v>
      </c>
      <c r="G171" s="22">
        <v>175</v>
      </c>
      <c r="H171" s="170"/>
      <c r="I171" s="15">
        <f>Medicam_Nun_e_Gomes[[#This Row],[VALOR UNID]]*Medicam_Dados[[#This Row],[QUANT]]</f>
        <v>0</v>
      </c>
      <c r="J171" s="15">
        <f>Medicam_Nun_e_Gomes[[#This Row],[VALOR MÊS ]]*12</f>
        <v>0</v>
      </c>
      <c r="M171" s="15"/>
      <c r="P171" s="15">
        <f>Medicam_Nun_e_Gomes[[#This Row],[VALOR UNID]]</f>
        <v>0</v>
      </c>
      <c r="Q171" s="15" t="e">
        <f>#REF!</f>
        <v>#REF!</v>
      </c>
      <c r="R171" s="15" t="e">
        <f>#REF!</f>
        <v>#REF!</v>
      </c>
    </row>
    <row r="172" spans="1:18" s="8" customFormat="1" ht="33.75" x14ac:dyDescent="0.25">
      <c r="A172" s="22" t="s">
        <v>441</v>
      </c>
      <c r="B172" s="21" t="s">
        <v>425</v>
      </c>
      <c r="C172" s="21" t="s">
        <v>442</v>
      </c>
      <c r="D172" s="21" t="s">
        <v>1305</v>
      </c>
      <c r="E172" s="22" t="s">
        <v>443</v>
      </c>
      <c r="F172" s="21" t="s">
        <v>8</v>
      </c>
      <c r="G172" s="22">
        <v>7928</v>
      </c>
      <c r="H172" s="235"/>
      <c r="I172" s="236">
        <f>Medicam_Nun_e_Gomes[[#This Row],[VALOR UNID]]*Medicam_Dados[[#This Row],[QUANT]]</f>
        <v>0</v>
      </c>
      <c r="J172" s="236">
        <f>Medicam_Nun_e_Gomes[[#This Row],[VALOR MÊS ]]*12</f>
        <v>0</v>
      </c>
      <c r="M172" s="15"/>
      <c r="P172" s="15">
        <f>Medicam_Nun_e_Gomes[[#This Row],[VALOR UNID]]</f>
        <v>0</v>
      </c>
      <c r="Q172" s="15" t="e">
        <f>#REF!</f>
        <v>#REF!</v>
      </c>
      <c r="R172" s="15" t="e">
        <f>#REF!</f>
        <v>#REF!</v>
      </c>
    </row>
    <row r="173" spans="1:18" s="8" customFormat="1" ht="33.75" x14ac:dyDescent="0.25">
      <c r="A173" s="22" t="s">
        <v>444</v>
      </c>
      <c r="B173" s="21" t="s">
        <v>425</v>
      </c>
      <c r="C173" s="21" t="s">
        <v>445</v>
      </c>
      <c r="D173" s="21"/>
      <c r="E173" s="22" t="s">
        <v>446</v>
      </c>
      <c r="F173" s="21" t="s">
        <v>40</v>
      </c>
      <c r="G173" s="22">
        <v>65</v>
      </c>
      <c r="H173" s="170"/>
      <c r="I173" s="15">
        <f>Medicam_Nun_e_Gomes[[#This Row],[VALOR UNID]]*Medicam_Dados[[#This Row],[QUANT]]</f>
        <v>0</v>
      </c>
      <c r="J173" s="15">
        <f>Medicam_Nun_e_Gomes[[#This Row],[VALOR MÊS ]]*12</f>
        <v>0</v>
      </c>
      <c r="M173" s="15"/>
      <c r="P173" s="15">
        <f>Medicam_Nun_e_Gomes[[#This Row],[VALOR UNID]]</f>
        <v>0</v>
      </c>
      <c r="Q173" s="15" t="e">
        <f>#REF!</f>
        <v>#REF!</v>
      </c>
      <c r="R173" s="15" t="e">
        <f>#REF!</f>
        <v>#REF!</v>
      </c>
    </row>
    <row r="174" spans="1:18" s="8" customFormat="1" ht="33.75" x14ac:dyDescent="0.25">
      <c r="A174" s="22" t="s">
        <v>447</v>
      </c>
      <c r="B174" s="21" t="s">
        <v>425</v>
      </c>
      <c r="C174" s="21" t="s">
        <v>448</v>
      </c>
      <c r="D174" s="21" t="s">
        <v>1259</v>
      </c>
      <c r="E174" s="22" t="s">
        <v>51</v>
      </c>
      <c r="F174" s="21" t="s">
        <v>8</v>
      </c>
      <c r="G174" s="22">
        <v>17971</v>
      </c>
      <c r="H174" s="235"/>
      <c r="I174" s="236">
        <f>Medicam_Nun_e_Gomes[[#This Row],[VALOR UNID]]*Medicam_Dados[[#This Row],[QUANT]]</f>
        <v>0</v>
      </c>
      <c r="J174" s="236">
        <f>Medicam_Nun_e_Gomes[[#This Row],[VALOR MÊS ]]*12</f>
        <v>0</v>
      </c>
      <c r="M174" s="15"/>
      <c r="P174" s="15">
        <f>Medicam_Nun_e_Gomes[[#This Row],[VALOR UNID]]</f>
        <v>0</v>
      </c>
      <c r="Q174" s="15" t="e">
        <f>#REF!</f>
        <v>#REF!</v>
      </c>
      <c r="R174" s="15" t="e">
        <f>#REF!</f>
        <v>#REF!</v>
      </c>
    </row>
    <row r="175" spans="1:18" s="8" customFormat="1" ht="33.75" x14ac:dyDescent="0.25">
      <c r="A175" s="22" t="s">
        <v>449</v>
      </c>
      <c r="B175" s="21" t="s">
        <v>425</v>
      </c>
      <c r="C175" s="21" t="s">
        <v>448</v>
      </c>
      <c r="D175" s="21" t="s">
        <v>1191</v>
      </c>
      <c r="E175" s="22" t="s">
        <v>450</v>
      </c>
      <c r="F175" s="21" t="s">
        <v>102</v>
      </c>
      <c r="G175" s="22">
        <v>150</v>
      </c>
      <c r="H175" s="170"/>
      <c r="I175" s="15">
        <f>Medicam_Nun_e_Gomes[[#This Row],[VALOR UNID]]*Medicam_Dados[[#This Row],[QUANT]]</f>
        <v>0</v>
      </c>
      <c r="J175" s="15">
        <f>Medicam_Nun_e_Gomes[[#This Row],[VALOR MÊS ]]*12</f>
        <v>0</v>
      </c>
      <c r="M175" s="15"/>
      <c r="P175" s="15">
        <f>Medicam_Nun_e_Gomes[[#This Row],[VALOR UNID]]</f>
        <v>0</v>
      </c>
      <c r="Q175" s="15" t="e">
        <f>#REF!</f>
        <v>#REF!</v>
      </c>
      <c r="R175" s="15" t="e">
        <f>#REF!</f>
        <v>#REF!</v>
      </c>
    </row>
    <row r="176" spans="1:18" s="8" customFormat="1" ht="33.75" x14ac:dyDescent="0.25">
      <c r="A176" s="22" t="s">
        <v>451</v>
      </c>
      <c r="B176" s="21" t="s">
        <v>425</v>
      </c>
      <c r="C176" s="21" t="s">
        <v>452</v>
      </c>
      <c r="D176" s="21" t="s">
        <v>1192</v>
      </c>
      <c r="E176" s="40">
        <v>0.01</v>
      </c>
      <c r="F176" s="21" t="s">
        <v>453</v>
      </c>
      <c r="G176" s="22">
        <v>310</v>
      </c>
      <c r="H176" s="235"/>
      <c r="I176" s="236">
        <f>Medicam_Nun_e_Gomes[[#This Row],[VALOR UNID]]*Medicam_Dados[[#This Row],[QUANT]]</f>
        <v>0</v>
      </c>
      <c r="J176" s="236">
        <f>Medicam_Nun_e_Gomes[[#This Row],[VALOR MÊS ]]*12</f>
        <v>0</v>
      </c>
      <c r="M176" s="15"/>
      <c r="P176" s="15">
        <f>Medicam_Nun_e_Gomes[[#This Row],[VALOR UNID]]</f>
        <v>0</v>
      </c>
      <c r="Q176" s="15" t="e">
        <f>#REF!</f>
        <v>#REF!</v>
      </c>
      <c r="R176" s="15" t="e">
        <f>#REF!</f>
        <v>#REF!</v>
      </c>
    </row>
    <row r="177" spans="1:18" s="8" customFormat="1" ht="33.75" x14ac:dyDescent="0.25">
      <c r="A177" s="22" t="s">
        <v>454</v>
      </c>
      <c r="B177" s="21" t="s">
        <v>425</v>
      </c>
      <c r="C177" s="21" t="s">
        <v>455</v>
      </c>
      <c r="D177" s="21" t="s">
        <v>1193</v>
      </c>
      <c r="E177" s="40">
        <v>0.05</v>
      </c>
      <c r="F177" s="21" t="s">
        <v>456</v>
      </c>
      <c r="G177" s="22">
        <v>250</v>
      </c>
      <c r="H177" s="170"/>
      <c r="I177" s="15">
        <f>Medicam_Nun_e_Gomes[[#This Row],[VALOR UNID]]/6*(Medicam_Dados[[#This Row],[QUANT]])</f>
        <v>0</v>
      </c>
      <c r="J177" s="15">
        <f>Medicam_Nun_e_Gomes[[#This Row],[VALOR MÊS ]]*12</f>
        <v>0</v>
      </c>
      <c r="M177" s="15"/>
      <c r="P177" s="15">
        <f>Medicam_Nun_e_Gomes[[#This Row],[VALOR UNID]]</f>
        <v>0</v>
      </c>
      <c r="Q177" s="15" t="e">
        <f>#REF!</f>
        <v>#REF!</v>
      </c>
      <c r="R177" s="15" t="e">
        <f>#REF!</f>
        <v>#REF!</v>
      </c>
    </row>
    <row r="178" spans="1:18" s="8" customFormat="1" ht="33.75" x14ac:dyDescent="0.25">
      <c r="A178" s="22" t="s">
        <v>457</v>
      </c>
      <c r="B178" s="21" t="s">
        <v>425</v>
      </c>
      <c r="C178" s="21" t="s">
        <v>458</v>
      </c>
      <c r="D178" s="21" t="s">
        <v>1194</v>
      </c>
      <c r="E178" s="22" t="s">
        <v>320</v>
      </c>
      <c r="F178" s="21" t="s">
        <v>40</v>
      </c>
      <c r="G178" s="22">
        <v>15</v>
      </c>
      <c r="H178" s="235"/>
      <c r="I178" s="236">
        <f>Medicam_Nun_e_Gomes[[#This Row],[VALOR UNID]]/6*(Medicam_Dados[[#This Row],[QUANT]])</f>
        <v>0</v>
      </c>
      <c r="J178" s="236">
        <f>Medicam_Nun_e_Gomes[[#This Row],[VALOR MÊS ]]*12</f>
        <v>0</v>
      </c>
      <c r="M178" s="15"/>
      <c r="P178" s="15">
        <f>Medicam_Nun_e_Gomes[[#This Row],[VALOR UNID]]</f>
        <v>0</v>
      </c>
      <c r="Q178" s="15" t="e">
        <f>#REF!</f>
        <v>#REF!</v>
      </c>
      <c r="R178" s="15" t="e">
        <f>#REF!</f>
        <v>#REF!</v>
      </c>
    </row>
    <row r="179" spans="1:18" s="8" customFormat="1" ht="33.75" x14ac:dyDescent="0.25">
      <c r="A179" s="22" t="s">
        <v>459</v>
      </c>
      <c r="B179" s="21" t="s">
        <v>425</v>
      </c>
      <c r="C179" s="21" t="s">
        <v>460</v>
      </c>
      <c r="D179" s="21" t="s">
        <v>1195</v>
      </c>
      <c r="E179" s="22" t="s">
        <v>461</v>
      </c>
      <c r="F179" s="21" t="s">
        <v>185</v>
      </c>
      <c r="G179" s="22">
        <v>53</v>
      </c>
      <c r="H179" s="170"/>
      <c r="I179" s="15">
        <f>Medicam_Nun_e_Gomes[[#This Row],[VALOR UNID]]/6*(Medicam_Dados[[#This Row],[QUANT]])</f>
        <v>0</v>
      </c>
      <c r="J179" s="15">
        <f>Medicam_Nun_e_Gomes[[#This Row],[VALOR MÊS ]]*12</f>
        <v>0</v>
      </c>
      <c r="M179" s="15"/>
      <c r="P179" s="15">
        <f>Medicam_Nun_e_Gomes[[#This Row],[VALOR UNID]]</f>
        <v>0</v>
      </c>
      <c r="Q179" s="15" t="e">
        <f>#REF!</f>
        <v>#REF!</v>
      </c>
      <c r="R179" s="15" t="e">
        <f>#REF!</f>
        <v>#REF!</v>
      </c>
    </row>
    <row r="180" spans="1:18" s="8" customFormat="1" ht="33.75" x14ac:dyDescent="0.25">
      <c r="A180" s="22" t="s">
        <v>462</v>
      </c>
      <c r="B180" s="21" t="s">
        <v>425</v>
      </c>
      <c r="C180" s="21" t="s">
        <v>463</v>
      </c>
      <c r="D180" s="21" t="s">
        <v>1304</v>
      </c>
      <c r="E180" s="22" t="s">
        <v>191</v>
      </c>
      <c r="F180" s="21" t="s">
        <v>8</v>
      </c>
      <c r="G180" s="22">
        <v>3500</v>
      </c>
      <c r="H180" s="235"/>
      <c r="I180" s="236">
        <f>Medicam_Nun_e_Gomes[[#This Row],[VALOR UNID]]*Medicam_Dados[[#This Row],[QUANT]]</f>
        <v>0</v>
      </c>
      <c r="J180" s="236">
        <f>Medicam_Nun_e_Gomes[[#This Row],[VALOR MÊS ]]*12</f>
        <v>0</v>
      </c>
      <c r="M180" s="15"/>
      <c r="P180" s="15">
        <f>Medicam_Nun_e_Gomes[[#This Row],[VALOR UNID]]</f>
        <v>0</v>
      </c>
      <c r="Q180" s="15" t="e">
        <f>#REF!</f>
        <v>#REF!</v>
      </c>
      <c r="R180" s="15" t="e">
        <f>#REF!</f>
        <v>#REF!</v>
      </c>
    </row>
    <row r="181" spans="1:18" s="8" customFormat="1" ht="33.75" x14ac:dyDescent="0.25">
      <c r="A181" s="22" t="s">
        <v>464</v>
      </c>
      <c r="B181" s="21" t="s">
        <v>425</v>
      </c>
      <c r="C181" s="21" t="s">
        <v>465</v>
      </c>
      <c r="D181" s="21" t="s">
        <v>1196</v>
      </c>
      <c r="E181" s="22" t="s">
        <v>443</v>
      </c>
      <c r="F181" s="21" t="s">
        <v>8</v>
      </c>
      <c r="G181" s="22">
        <v>529</v>
      </c>
      <c r="H181" s="170"/>
      <c r="I181" s="15">
        <f>Medicam_Nun_e_Gomes[[#This Row],[VALOR UNID]]*Medicam_Dados[[#This Row],[QUANT]]</f>
        <v>0</v>
      </c>
      <c r="J181" s="15">
        <f>Medicam_Nun_e_Gomes[[#This Row],[VALOR MÊS ]]*12</f>
        <v>0</v>
      </c>
      <c r="M181" s="15"/>
      <c r="P181" s="15">
        <f>Medicam_Nun_e_Gomes[[#This Row],[VALOR UNID]]</f>
        <v>0</v>
      </c>
      <c r="Q181" s="15" t="e">
        <f>#REF!</f>
        <v>#REF!</v>
      </c>
      <c r="R181" s="15" t="e">
        <f>#REF!</f>
        <v>#REF!</v>
      </c>
    </row>
    <row r="182" spans="1:18" s="8" customFormat="1" ht="33.75" x14ac:dyDescent="0.25">
      <c r="A182" s="22" t="s">
        <v>466</v>
      </c>
      <c r="B182" s="21" t="s">
        <v>425</v>
      </c>
      <c r="C182" s="21" t="s">
        <v>467</v>
      </c>
      <c r="D182" s="21" t="s">
        <v>1197</v>
      </c>
      <c r="E182" s="22" t="s">
        <v>48</v>
      </c>
      <c r="F182" s="21" t="s">
        <v>8</v>
      </c>
      <c r="G182" s="22">
        <v>793</v>
      </c>
      <c r="H182" s="235"/>
      <c r="I182" s="236">
        <f>Medicam_Nun_e_Gomes[[#This Row],[VALOR UNID]]*Medicam_Dados[[#This Row],[QUANT]]</f>
        <v>0</v>
      </c>
      <c r="J182" s="236">
        <f>Medicam_Nun_e_Gomes[[#This Row],[VALOR MÊS ]]*12</f>
        <v>0</v>
      </c>
      <c r="M182" s="15"/>
      <c r="P182" s="15">
        <f>Medicam_Nun_e_Gomes[[#This Row],[VALOR UNID]]</f>
        <v>0</v>
      </c>
      <c r="Q182" s="15" t="e">
        <f>#REF!</f>
        <v>#REF!</v>
      </c>
      <c r="R182" s="15" t="e">
        <f>#REF!</f>
        <v>#REF!</v>
      </c>
    </row>
    <row r="183" spans="1:18" s="8" customFormat="1" ht="33.75" x14ac:dyDescent="0.25">
      <c r="A183" s="22" t="s">
        <v>468</v>
      </c>
      <c r="B183" s="21" t="s">
        <v>5</v>
      </c>
      <c r="C183" s="21" t="s">
        <v>467</v>
      </c>
      <c r="D183" s="21" t="s">
        <v>1198</v>
      </c>
      <c r="E183" s="22" t="s">
        <v>218</v>
      </c>
      <c r="F183" s="21" t="s">
        <v>40</v>
      </c>
      <c r="G183" s="22">
        <v>53</v>
      </c>
      <c r="H183" s="170"/>
      <c r="I183" s="15">
        <f>Medicam_Nun_e_Gomes[[#This Row],[VALOR UNID]]*Medicam_Dados[[#This Row],[QUANT]]</f>
        <v>0</v>
      </c>
      <c r="J183" s="15">
        <f>Medicam_Nun_e_Gomes[[#This Row],[VALOR MÊS ]]*12</f>
        <v>0</v>
      </c>
      <c r="M183" s="15"/>
      <c r="P183" s="15">
        <f>Medicam_Nun_e_Gomes[[#This Row],[VALOR UNID]]</f>
        <v>0</v>
      </c>
      <c r="Q183" s="15" t="e">
        <f>#REF!</f>
        <v>#REF!</v>
      </c>
      <c r="R183" s="15" t="e">
        <f>#REF!</f>
        <v>#REF!</v>
      </c>
    </row>
    <row r="184" spans="1:18" s="8" customFormat="1" ht="33.75" x14ac:dyDescent="0.25">
      <c r="A184" s="22" t="s">
        <v>469</v>
      </c>
      <c r="B184" s="21" t="s">
        <v>425</v>
      </c>
      <c r="C184" s="21" t="s">
        <v>470</v>
      </c>
      <c r="D184" s="21" t="s">
        <v>1199</v>
      </c>
      <c r="E184" s="22" t="s">
        <v>293</v>
      </c>
      <c r="F184" s="21" t="s">
        <v>8</v>
      </c>
      <c r="G184" s="22">
        <v>2114</v>
      </c>
      <c r="H184" s="235"/>
      <c r="I184" s="236">
        <f>Medicam_Nun_e_Gomes[[#This Row],[VALOR UNID]]*Medicam_Dados[[#This Row],[QUANT]]</f>
        <v>0</v>
      </c>
      <c r="J184" s="236">
        <f>Medicam_Nun_e_Gomes[[#This Row],[VALOR MÊS ]]*12</f>
        <v>0</v>
      </c>
      <c r="M184" s="15"/>
      <c r="P184" s="15">
        <f>Medicam_Nun_e_Gomes[[#This Row],[VALOR UNID]]</f>
        <v>0</v>
      </c>
      <c r="Q184" s="15" t="e">
        <f>#REF!</f>
        <v>#REF!</v>
      </c>
      <c r="R184" s="15" t="e">
        <f>#REF!</f>
        <v>#REF!</v>
      </c>
    </row>
    <row r="185" spans="1:18" s="8" customFormat="1" ht="33.75" x14ac:dyDescent="0.25">
      <c r="A185" s="22" t="s">
        <v>471</v>
      </c>
      <c r="B185" s="21" t="s">
        <v>5</v>
      </c>
      <c r="C185" s="21" t="s">
        <v>472</v>
      </c>
      <c r="D185" s="21" t="s">
        <v>1200</v>
      </c>
      <c r="E185" s="22" t="s">
        <v>296</v>
      </c>
      <c r="F185" s="21" t="s">
        <v>40</v>
      </c>
      <c r="G185" s="22">
        <v>15</v>
      </c>
      <c r="H185" s="170"/>
      <c r="I185" s="15">
        <f>Medicam_Nun_e_Gomes[[#This Row],[VALOR UNID]]*Medicam_Dados[[#This Row],[QUANT]]</f>
        <v>0</v>
      </c>
      <c r="J185" s="15">
        <f>Medicam_Nun_e_Gomes[[#This Row],[VALOR MÊS ]]*12</f>
        <v>0</v>
      </c>
      <c r="M185" s="15"/>
      <c r="P185" s="15">
        <f>Medicam_Nun_e_Gomes[[#This Row],[VALOR UNID]]</f>
        <v>0</v>
      </c>
      <c r="Q185" s="15" t="e">
        <f>#REF!</f>
        <v>#REF!</v>
      </c>
      <c r="R185" s="15" t="e">
        <f>#REF!</f>
        <v>#REF!</v>
      </c>
    </row>
    <row r="186" spans="1:18" s="8" customFormat="1" ht="33.75" x14ac:dyDescent="0.25">
      <c r="A186" s="22" t="s">
        <v>473</v>
      </c>
      <c r="B186" s="21" t="s">
        <v>425</v>
      </c>
      <c r="C186" s="21" t="s">
        <v>474</v>
      </c>
      <c r="D186" s="21" t="s">
        <v>1201</v>
      </c>
      <c r="E186" s="22" t="s">
        <v>274</v>
      </c>
      <c r="F186" s="21" t="s">
        <v>8</v>
      </c>
      <c r="G186" s="22">
        <v>5250</v>
      </c>
      <c r="H186" s="235"/>
      <c r="I186" s="236">
        <f>Medicam_Nun_e_Gomes[[#This Row],[VALOR UNID]]*Medicam_Dados[[#This Row],[QUANT]]</f>
        <v>0</v>
      </c>
      <c r="J186" s="236">
        <f>Medicam_Nun_e_Gomes[[#This Row],[VALOR MÊS ]]*12</f>
        <v>0</v>
      </c>
      <c r="M186" s="15"/>
      <c r="P186" s="15">
        <f>Medicam_Nun_e_Gomes[[#This Row],[VALOR UNID]]</f>
        <v>0</v>
      </c>
      <c r="Q186" s="15" t="e">
        <f>#REF!</f>
        <v>#REF!</v>
      </c>
      <c r="R186" s="15" t="e">
        <f>#REF!</f>
        <v>#REF!</v>
      </c>
    </row>
    <row r="187" spans="1:18" s="8" customFormat="1" ht="33.75" x14ac:dyDescent="0.25">
      <c r="A187" s="22" t="s">
        <v>475</v>
      </c>
      <c r="B187" s="21" t="s">
        <v>425</v>
      </c>
      <c r="C187" s="21" t="s">
        <v>476</v>
      </c>
      <c r="D187" s="21" t="s">
        <v>1202</v>
      </c>
      <c r="E187" s="22" t="s">
        <v>218</v>
      </c>
      <c r="F187" s="21" t="s">
        <v>40</v>
      </c>
      <c r="G187" s="22">
        <v>95</v>
      </c>
      <c r="H187" s="170"/>
      <c r="I187" s="15">
        <f>Medicam_Nun_e_Gomes[[#This Row],[VALOR UNID]]*Medicam_Dados[[#This Row],[QUANT]]</f>
        <v>0</v>
      </c>
      <c r="J187" s="15">
        <f>Medicam_Nun_e_Gomes[[#This Row],[VALOR MÊS ]]*12</f>
        <v>0</v>
      </c>
      <c r="M187" s="15"/>
      <c r="P187" s="15">
        <f>Medicam_Nun_e_Gomes[[#This Row],[VALOR UNID]]</f>
        <v>0</v>
      </c>
      <c r="Q187" s="15" t="e">
        <f>#REF!</f>
        <v>#REF!</v>
      </c>
      <c r="R187" s="15" t="e">
        <f>#REF!</f>
        <v>#REF!</v>
      </c>
    </row>
    <row r="188" spans="1:18" s="8" customFormat="1" ht="33.75" x14ac:dyDescent="0.25">
      <c r="A188" s="22" t="s">
        <v>477</v>
      </c>
      <c r="B188" s="21" t="s">
        <v>425</v>
      </c>
      <c r="C188" s="21" t="s">
        <v>478</v>
      </c>
      <c r="D188" s="21" t="s">
        <v>1303</v>
      </c>
      <c r="E188" s="22" t="s">
        <v>479</v>
      </c>
      <c r="F188" s="21" t="s">
        <v>480</v>
      </c>
      <c r="G188" s="22">
        <v>1750</v>
      </c>
      <c r="H188" s="235"/>
      <c r="I188" s="236">
        <f>Medicam_Nun_e_Gomes[[#This Row],[VALOR UNID]]/6*(Medicam_Dados[[#This Row],[QUANT]])</f>
        <v>0</v>
      </c>
      <c r="J188" s="236">
        <f>Medicam_Nun_e_Gomes[[#This Row],[VALOR MÊS ]]*12</f>
        <v>0</v>
      </c>
      <c r="M188" s="15"/>
      <c r="P188" s="15">
        <f>Medicam_Nun_e_Gomes[[#This Row],[VALOR UNID]]</f>
        <v>0</v>
      </c>
      <c r="Q188" s="15" t="e">
        <f>#REF!</f>
        <v>#REF!</v>
      </c>
      <c r="R188" s="15" t="e">
        <f>#REF!</f>
        <v>#REF!</v>
      </c>
    </row>
    <row r="189" spans="1:18" s="8" customFormat="1" ht="33.75" x14ac:dyDescent="0.25">
      <c r="A189" s="22" t="s">
        <v>481</v>
      </c>
      <c r="B189" s="21" t="s">
        <v>425</v>
      </c>
      <c r="C189" s="21" t="s">
        <v>482</v>
      </c>
      <c r="D189" s="21"/>
      <c r="E189" s="22" t="s">
        <v>483</v>
      </c>
      <c r="F189" s="21" t="s">
        <v>484</v>
      </c>
      <c r="G189" s="22">
        <v>30</v>
      </c>
      <c r="H189" s="170"/>
      <c r="I189" s="15">
        <f>Medicam_Nun_e_Gomes[[#This Row],[VALOR UNID]]*Medicam_Dados[[#This Row],[QUANT]]</f>
        <v>0</v>
      </c>
      <c r="J189" s="15">
        <f>Medicam_Nun_e_Gomes[[#This Row],[VALOR MÊS ]]*12</f>
        <v>0</v>
      </c>
      <c r="M189" s="15"/>
      <c r="P189" s="15">
        <f>Medicam_Nun_e_Gomes[[#This Row],[VALOR UNID]]</f>
        <v>0</v>
      </c>
      <c r="Q189" s="15" t="e">
        <f>#REF!</f>
        <v>#REF!</v>
      </c>
      <c r="R189" s="15" t="e">
        <f>#REF!</f>
        <v>#REF!</v>
      </c>
    </row>
    <row r="190" spans="1:18" s="8" customFormat="1" ht="33.75" x14ac:dyDescent="0.25">
      <c r="A190" s="22" t="s">
        <v>485</v>
      </c>
      <c r="B190" s="21" t="s">
        <v>425</v>
      </c>
      <c r="C190" s="21" t="s">
        <v>486</v>
      </c>
      <c r="D190" s="21" t="s">
        <v>1203</v>
      </c>
      <c r="E190" s="22" t="s">
        <v>93</v>
      </c>
      <c r="F190" s="21" t="s">
        <v>8</v>
      </c>
      <c r="G190" s="22">
        <v>2500</v>
      </c>
      <c r="H190" s="235"/>
      <c r="I190" s="236">
        <f>Medicam_Nun_e_Gomes[[#This Row],[VALOR UNID]]*Medicam_Dados[[#This Row],[QUANT]]</f>
        <v>0</v>
      </c>
      <c r="J190" s="236">
        <f>Medicam_Nun_e_Gomes[[#This Row],[VALOR MÊS ]]*12</f>
        <v>0</v>
      </c>
      <c r="M190" s="15"/>
      <c r="P190" s="15">
        <f>Medicam_Nun_e_Gomes[[#This Row],[VALOR UNID]]</f>
        <v>0</v>
      </c>
      <c r="Q190" s="15" t="e">
        <f>#REF!</f>
        <v>#REF!</v>
      </c>
      <c r="R190" s="15" t="e">
        <f>#REF!</f>
        <v>#REF!</v>
      </c>
    </row>
    <row r="191" spans="1:18" s="8" customFormat="1" ht="33.75" x14ac:dyDescent="0.25">
      <c r="A191" s="22" t="s">
        <v>487</v>
      </c>
      <c r="B191" s="21" t="s">
        <v>425</v>
      </c>
      <c r="C191" s="21" t="s">
        <v>488</v>
      </c>
      <c r="D191" s="21" t="s">
        <v>1204</v>
      </c>
      <c r="E191" s="22" t="s">
        <v>93</v>
      </c>
      <c r="F191" s="21" t="s">
        <v>8</v>
      </c>
      <c r="G191" s="22">
        <v>250</v>
      </c>
      <c r="H191" s="170"/>
      <c r="I191" s="15">
        <f>Medicam_Nun_e_Gomes[[#This Row],[VALOR UNID]]*Medicam_Dados[[#This Row],[QUANT]]</f>
        <v>0</v>
      </c>
      <c r="J191" s="15">
        <f>Medicam_Nun_e_Gomes[[#This Row],[VALOR MÊS ]]*12</f>
        <v>0</v>
      </c>
      <c r="M191" s="15"/>
      <c r="P191" s="15">
        <f>Medicam_Nun_e_Gomes[[#This Row],[VALOR UNID]]</f>
        <v>0</v>
      </c>
      <c r="Q191" s="15" t="e">
        <f>#REF!</f>
        <v>#REF!</v>
      </c>
      <c r="R191" s="15" t="e">
        <f>#REF!</f>
        <v>#REF!</v>
      </c>
    </row>
    <row r="192" spans="1:18" s="8" customFormat="1" ht="33.75" x14ac:dyDescent="0.25">
      <c r="A192" s="22" t="s">
        <v>489</v>
      </c>
      <c r="B192" s="21" t="s">
        <v>425</v>
      </c>
      <c r="C192" s="21" t="s">
        <v>488</v>
      </c>
      <c r="D192" s="21" t="s">
        <v>1205</v>
      </c>
      <c r="E192" s="22" t="s">
        <v>490</v>
      </c>
      <c r="F192" s="21" t="s">
        <v>491</v>
      </c>
      <c r="G192" s="22">
        <v>300</v>
      </c>
      <c r="H192" s="235"/>
      <c r="I192" s="236">
        <f>Medicam_Nun_e_Gomes[[#This Row],[VALOR UNID]]*Medicam_Dados[[#This Row],[QUANT]]</f>
        <v>0</v>
      </c>
      <c r="J192" s="236">
        <f>Medicam_Nun_e_Gomes[[#This Row],[VALOR MÊS ]]*12</f>
        <v>0</v>
      </c>
      <c r="M192" s="15"/>
      <c r="P192" s="15">
        <f>Medicam_Nun_e_Gomes[[#This Row],[VALOR UNID]]</f>
        <v>0</v>
      </c>
      <c r="Q192" s="15" t="e">
        <f>#REF!</f>
        <v>#REF!</v>
      </c>
      <c r="R192" s="15" t="e">
        <f>#REF!</f>
        <v>#REF!</v>
      </c>
    </row>
    <row r="193" spans="1:18" s="8" customFormat="1" ht="33.75" x14ac:dyDescent="0.25">
      <c r="A193" s="22" t="s">
        <v>492</v>
      </c>
      <c r="B193" s="21" t="s">
        <v>425</v>
      </c>
      <c r="C193" s="21" t="s">
        <v>488</v>
      </c>
      <c r="D193" s="21" t="s">
        <v>1206</v>
      </c>
      <c r="E193" s="22" t="s">
        <v>493</v>
      </c>
      <c r="F193" s="21" t="s">
        <v>78</v>
      </c>
      <c r="G193" s="22">
        <v>106</v>
      </c>
      <c r="H193" s="170"/>
      <c r="I193" s="15">
        <f>Medicam_Nun_e_Gomes[[#This Row],[VALOR UNID]]*Medicam_Dados[[#This Row],[QUANT]]</f>
        <v>0</v>
      </c>
      <c r="J193" s="15">
        <f>Medicam_Nun_e_Gomes[[#This Row],[VALOR MÊS ]]*12</f>
        <v>0</v>
      </c>
      <c r="M193" s="15"/>
      <c r="P193" s="15">
        <f>Medicam_Nun_e_Gomes[[#This Row],[VALOR UNID]]</f>
        <v>0</v>
      </c>
      <c r="Q193" s="15" t="e">
        <f>#REF!</f>
        <v>#REF!</v>
      </c>
      <c r="R193" s="15" t="e">
        <f>#REF!</f>
        <v>#REF!</v>
      </c>
    </row>
    <row r="194" spans="1:18" s="8" customFormat="1" ht="33.75" x14ac:dyDescent="0.25">
      <c r="A194" s="22" t="s">
        <v>494</v>
      </c>
      <c r="B194" s="21" t="s">
        <v>425</v>
      </c>
      <c r="C194" s="21" t="s">
        <v>495</v>
      </c>
      <c r="D194" s="21" t="s">
        <v>1302</v>
      </c>
      <c r="E194" s="22" t="s">
        <v>496</v>
      </c>
      <c r="F194" s="21" t="s">
        <v>40</v>
      </c>
      <c r="G194" s="22">
        <v>15</v>
      </c>
      <c r="H194" s="235"/>
      <c r="I194" s="236">
        <f>Medicam_Nun_e_Gomes[[#This Row],[VALOR UNID]]*Medicam_Dados[[#This Row],[QUANT]]</f>
        <v>0</v>
      </c>
      <c r="J194" s="236">
        <f>Medicam_Nun_e_Gomes[[#This Row],[VALOR MÊS ]]*12</f>
        <v>0</v>
      </c>
      <c r="M194" s="15"/>
      <c r="P194" s="15">
        <f>Medicam_Nun_e_Gomes[[#This Row],[VALOR UNID]]</f>
        <v>0</v>
      </c>
      <c r="Q194" s="15" t="e">
        <f>#REF!</f>
        <v>#REF!</v>
      </c>
      <c r="R194" s="15" t="e">
        <f>#REF!</f>
        <v>#REF!</v>
      </c>
    </row>
    <row r="195" spans="1:18" s="8" customFormat="1" ht="33.75" x14ac:dyDescent="0.25">
      <c r="A195" s="22" t="s">
        <v>497</v>
      </c>
      <c r="B195" s="21" t="s">
        <v>425</v>
      </c>
      <c r="C195" s="21" t="s">
        <v>498</v>
      </c>
      <c r="D195" s="21" t="s">
        <v>1207</v>
      </c>
      <c r="E195" s="22" t="s">
        <v>499</v>
      </c>
      <c r="F195" s="21" t="s">
        <v>8</v>
      </c>
      <c r="G195" s="22">
        <v>1057</v>
      </c>
      <c r="H195" s="170"/>
      <c r="I195" s="15">
        <f>Medicam_Nun_e_Gomes[[#This Row],[VALOR UNID]]/6*(Medicam_Dados[[#This Row],[QUANT]])</f>
        <v>0</v>
      </c>
      <c r="J195" s="15">
        <f>Medicam_Nun_e_Gomes[[#This Row],[VALOR MÊS ]]*12</f>
        <v>0</v>
      </c>
      <c r="M195" s="15"/>
      <c r="P195" s="15">
        <f>Medicam_Nun_e_Gomes[[#This Row],[VALOR UNID]]</f>
        <v>0</v>
      </c>
      <c r="Q195" s="15" t="e">
        <f>#REF!</f>
        <v>#REF!</v>
      </c>
      <c r="R195" s="15" t="e">
        <f>#REF!</f>
        <v>#REF!</v>
      </c>
    </row>
    <row r="196" spans="1:18" s="8" customFormat="1" ht="33.75" x14ac:dyDescent="0.25">
      <c r="A196" s="22" t="s">
        <v>500</v>
      </c>
      <c r="B196" s="21" t="s">
        <v>425</v>
      </c>
      <c r="C196" s="21" t="s">
        <v>498</v>
      </c>
      <c r="D196" s="21" t="s">
        <v>1208</v>
      </c>
      <c r="E196" s="22" t="s">
        <v>501</v>
      </c>
      <c r="F196" s="21" t="s">
        <v>102</v>
      </c>
      <c r="G196" s="22">
        <v>30</v>
      </c>
      <c r="H196" s="235"/>
      <c r="I196" s="236">
        <f>Medicam_Nun_e_Gomes[[#This Row],[VALOR UNID]]*Medicam_Dados[[#This Row],[QUANT]]</f>
        <v>0</v>
      </c>
      <c r="J196" s="236">
        <f>Medicam_Nun_e_Gomes[[#This Row],[VALOR MÊS ]]*12</f>
        <v>0</v>
      </c>
      <c r="M196" s="15"/>
      <c r="P196" s="15">
        <f>Medicam_Nun_e_Gomes[[#This Row],[VALOR UNID]]</f>
        <v>0</v>
      </c>
      <c r="Q196" s="15" t="e">
        <f>#REF!</f>
        <v>#REF!</v>
      </c>
      <c r="R196" s="15" t="e">
        <f>#REF!</f>
        <v>#REF!</v>
      </c>
    </row>
    <row r="197" spans="1:18" s="8" customFormat="1" ht="33.75" x14ac:dyDescent="0.25">
      <c r="A197" s="22" t="s">
        <v>502</v>
      </c>
      <c r="B197" s="21" t="s">
        <v>425</v>
      </c>
      <c r="C197" s="21" t="s">
        <v>503</v>
      </c>
      <c r="D197" s="21" t="s">
        <v>1209</v>
      </c>
      <c r="E197" s="22" t="s">
        <v>443</v>
      </c>
      <c r="F197" s="21" t="s">
        <v>8</v>
      </c>
      <c r="G197" s="22">
        <v>1638</v>
      </c>
      <c r="H197" s="170"/>
      <c r="I197" s="15">
        <f>Medicam_Nun_e_Gomes[[#This Row],[VALOR UNID]]*Medicam_Dados[[#This Row],[QUANT]]</f>
        <v>0</v>
      </c>
      <c r="J197" s="15">
        <f>Medicam_Nun_e_Gomes[[#This Row],[VALOR MÊS ]]*12</f>
        <v>0</v>
      </c>
      <c r="M197" s="15"/>
      <c r="P197" s="15">
        <f>Medicam_Nun_e_Gomes[[#This Row],[VALOR UNID]]</f>
        <v>0</v>
      </c>
      <c r="Q197" s="15" t="e">
        <f>#REF!</f>
        <v>#REF!</v>
      </c>
      <c r="R197" s="15" t="e">
        <f>#REF!</f>
        <v>#REF!</v>
      </c>
    </row>
    <row r="198" spans="1:18" s="8" customFormat="1" ht="33.75" x14ac:dyDescent="0.25">
      <c r="A198" s="22" t="s">
        <v>504</v>
      </c>
      <c r="B198" s="21" t="s">
        <v>425</v>
      </c>
      <c r="C198" s="21" t="s">
        <v>505</v>
      </c>
      <c r="D198" s="21" t="s">
        <v>1210</v>
      </c>
      <c r="E198" s="22" t="s">
        <v>506</v>
      </c>
      <c r="F198" s="21" t="s">
        <v>507</v>
      </c>
      <c r="G198" s="22">
        <v>5</v>
      </c>
      <c r="H198" s="235"/>
      <c r="I198" s="236">
        <f>Medicam_Nun_e_Gomes[[#This Row],[VALOR UNID]]*Medicam_Dados[[#This Row],[QUANT]]</f>
        <v>0</v>
      </c>
      <c r="J198" s="236">
        <f>Medicam_Nun_e_Gomes[[#This Row],[VALOR MÊS ]]*12</f>
        <v>0</v>
      </c>
      <c r="M198" s="15"/>
      <c r="P198" s="15">
        <f>Medicam_Nun_e_Gomes[[#This Row],[VALOR UNID]]</f>
        <v>0</v>
      </c>
      <c r="Q198" s="15" t="e">
        <f>#REF!</f>
        <v>#REF!</v>
      </c>
      <c r="R198" s="15" t="e">
        <f>#REF!</f>
        <v>#REF!</v>
      </c>
    </row>
    <row r="199" spans="1:18" s="8" customFormat="1" ht="33.75" x14ac:dyDescent="0.25">
      <c r="A199" s="22" t="s">
        <v>508</v>
      </c>
      <c r="B199" s="21" t="s">
        <v>425</v>
      </c>
      <c r="C199" s="21" t="s">
        <v>509</v>
      </c>
      <c r="D199" s="21" t="s">
        <v>1211</v>
      </c>
      <c r="E199" s="22" t="s">
        <v>510</v>
      </c>
      <c r="F199" s="21" t="s">
        <v>8</v>
      </c>
      <c r="G199" s="22">
        <v>250</v>
      </c>
      <c r="H199" s="170"/>
      <c r="I199" s="15">
        <f>Medicam_Nun_e_Gomes[[#This Row],[VALOR UNID]]/6*(Medicam_Dados[[#This Row],[QUANT]])</f>
        <v>0</v>
      </c>
      <c r="J199" s="15">
        <f>Medicam_Nun_e_Gomes[[#This Row],[VALOR MÊS ]]*12</f>
        <v>0</v>
      </c>
      <c r="M199" s="15"/>
      <c r="P199" s="15">
        <f>Medicam_Nun_e_Gomes[[#This Row],[VALOR UNID]]</f>
        <v>0</v>
      </c>
      <c r="Q199" s="15" t="e">
        <f>#REF!</f>
        <v>#REF!</v>
      </c>
      <c r="R199" s="15" t="e">
        <f>#REF!</f>
        <v>#REF!</v>
      </c>
    </row>
    <row r="200" spans="1:18" s="8" customFormat="1" ht="33.75" x14ac:dyDescent="0.25">
      <c r="A200" s="22" t="s">
        <v>511</v>
      </c>
      <c r="B200" s="21" t="s">
        <v>425</v>
      </c>
      <c r="C200" s="21" t="s">
        <v>512</v>
      </c>
      <c r="D200" s="21" t="s">
        <v>1212</v>
      </c>
      <c r="E200" s="22" t="s">
        <v>293</v>
      </c>
      <c r="F200" s="21" t="s">
        <v>8</v>
      </c>
      <c r="G200" s="22">
        <v>2000</v>
      </c>
      <c r="H200" s="235"/>
      <c r="I200" s="236">
        <f>Medicam_Nun_e_Gomes[[#This Row],[VALOR UNID]]/6*(Medicam_Dados[[#This Row],[QUANT]])</f>
        <v>0</v>
      </c>
      <c r="J200" s="236">
        <f>Medicam_Nun_e_Gomes[[#This Row],[VALOR MÊS ]]*12</f>
        <v>0</v>
      </c>
      <c r="M200" s="15"/>
      <c r="P200" s="15">
        <f>Medicam_Nun_e_Gomes[[#This Row],[VALOR UNID]]</f>
        <v>0</v>
      </c>
      <c r="Q200" s="15" t="e">
        <f>#REF!</f>
        <v>#REF!</v>
      </c>
      <c r="R200" s="15" t="e">
        <f>#REF!</f>
        <v>#REF!</v>
      </c>
    </row>
    <row r="201" spans="1:18" s="8" customFormat="1" ht="33.75" x14ac:dyDescent="0.25">
      <c r="A201" s="22" t="s">
        <v>513</v>
      </c>
      <c r="B201" s="21" t="s">
        <v>425</v>
      </c>
      <c r="C201" s="21" t="s">
        <v>514</v>
      </c>
      <c r="D201" s="21" t="s">
        <v>1213</v>
      </c>
      <c r="E201" s="22" t="s">
        <v>134</v>
      </c>
      <c r="F201" s="21" t="s">
        <v>8</v>
      </c>
      <c r="G201" s="22">
        <v>100</v>
      </c>
      <c r="H201" s="170"/>
      <c r="I201" s="15">
        <f>Medicam_Nun_e_Gomes[[#This Row],[VALOR UNID]]*Medicam_Dados[[#This Row],[QUANT]]</f>
        <v>0</v>
      </c>
      <c r="J201" s="15">
        <f>Medicam_Nun_e_Gomes[[#This Row],[VALOR MÊS ]]*12</f>
        <v>0</v>
      </c>
      <c r="M201" s="15"/>
      <c r="P201" s="15">
        <f>Medicam_Nun_e_Gomes[[#This Row],[VALOR UNID]]</f>
        <v>0</v>
      </c>
      <c r="Q201" s="15" t="e">
        <f>#REF!</f>
        <v>#REF!</v>
      </c>
      <c r="R201" s="15" t="e">
        <f>#REF!</f>
        <v>#REF!</v>
      </c>
    </row>
    <row r="202" spans="1:18" s="8" customFormat="1" ht="33.75" x14ac:dyDescent="0.25">
      <c r="A202" s="22" t="s">
        <v>515</v>
      </c>
      <c r="B202" s="21" t="s">
        <v>425</v>
      </c>
      <c r="C202" s="21" t="s">
        <v>516</v>
      </c>
      <c r="D202" s="21"/>
      <c r="E202" s="22" t="s">
        <v>191</v>
      </c>
      <c r="F202" s="21" t="s">
        <v>517</v>
      </c>
      <c r="G202" s="22">
        <v>106</v>
      </c>
      <c r="H202" s="235"/>
      <c r="I202" s="236">
        <f>Medicam_Nun_e_Gomes[[#This Row],[VALOR UNID]]*Medicam_Dados[[#This Row],[QUANT]]</f>
        <v>0</v>
      </c>
      <c r="J202" s="236">
        <f>Medicam_Nun_e_Gomes[[#This Row],[VALOR MÊS ]]*12</f>
        <v>0</v>
      </c>
      <c r="M202" s="15"/>
      <c r="P202" s="15">
        <f>Medicam_Nun_e_Gomes[[#This Row],[VALOR UNID]]</f>
        <v>0</v>
      </c>
      <c r="Q202" s="15" t="e">
        <f>#REF!</f>
        <v>#REF!</v>
      </c>
      <c r="R202" s="15" t="e">
        <f>#REF!</f>
        <v>#REF!</v>
      </c>
    </row>
    <row r="203" spans="1:18" s="8" customFormat="1" ht="33.75" x14ac:dyDescent="0.25">
      <c r="A203" s="22" t="s">
        <v>518</v>
      </c>
      <c r="B203" s="21" t="s">
        <v>425</v>
      </c>
      <c r="C203" s="21" t="s">
        <v>519</v>
      </c>
      <c r="D203" s="21"/>
      <c r="E203" s="22" t="s">
        <v>191</v>
      </c>
      <c r="F203" s="21" t="s">
        <v>517</v>
      </c>
      <c r="G203" s="22">
        <v>26</v>
      </c>
      <c r="H203" s="170"/>
      <c r="I203" s="15">
        <f>Medicam_Nun_e_Gomes[[#This Row],[VALOR UNID]]*Medicam_Dados[[#This Row],[QUANT]]</f>
        <v>0</v>
      </c>
      <c r="J203" s="15">
        <f>Medicam_Nun_e_Gomes[[#This Row],[VALOR MÊS ]]*12</f>
        <v>0</v>
      </c>
      <c r="M203" s="15"/>
      <c r="P203" s="15">
        <f>Medicam_Nun_e_Gomes[[#This Row],[VALOR UNID]]</f>
        <v>0</v>
      </c>
      <c r="Q203" s="15" t="e">
        <f>#REF!</f>
        <v>#REF!</v>
      </c>
      <c r="R203" s="15" t="e">
        <f>#REF!</f>
        <v>#REF!</v>
      </c>
    </row>
    <row r="204" spans="1:18" s="8" customFormat="1" ht="33.75" x14ac:dyDescent="0.25">
      <c r="A204" s="22" t="s">
        <v>520</v>
      </c>
      <c r="B204" s="21" t="s">
        <v>425</v>
      </c>
      <c r="C204" s="21" t="s">
        <v>521</v>
      </c>
      <c r="D204" s="21" t="s">
        <v>1301</v>
      </c>
      <c r="E204" s="22" t="s">
        <v>14</v>
      </c>
      <c r="F204" s="21" t="s">
        <v>56</v>
      </c>
      <c r="G204" s="22">
        <v>15</v>
      </c>
      <c r="H204" s="235"/>
      <c r="I204" s="236">
        <f>Medicam_Nun_e_Gomes[[#This Row],[VALOR UNID]]*Medicam_Dados[[#This Row],[QUANT]]</f>
        <v>0</v>
      </c>
      <c r="J204" s="236">
        <f>Medicam_Nun_e_Gomes[[#This Row],[VALOR MÊS ]]*12</f>
        <v>0</v>
      </c>
      <c r="M204" s="15"/>
      <c r="P204" s="15">
        <f>Medicam_Nun_e_Gomes[[#This Row],[VALOR UNID]]</f>
        <v>0</v>
      </c>
      <c r="Q204" s="15" t="e">
        <f>#REF!</f>
        <v>#REF!</v>
      </c>
      <c r="R204" s="15" t="e">
        <f>#REF!</f>
        <v>#REF!</v>
      </c>
    </row>
    <row r="205" spans="1:18" s="8" customFormat="1" ht="33.75" x14ac:dyDescent="0.25">
      <c r="A205" s="22" t="s">
        <v>522</v>
      </c>
      <c r="B205" s="21" t="s">
        <v>425</v>
      </c>
      <c r="C205" s="21" t="s">
        <v>523</v>
      </c>
      <c r="D205" s="21" t="s">
        <v>1214</v>
      </c>
      <c r="E205" s="22" t="s">
        <v>112</v>
      </c>
      <c r="F205" s="21" t="s">
        <v>8</v>
      </c>
      <c r="G205" s="22">
        <v>291</v>
      </c>
      <c r="H205" s="170"/>
      <c r="I205" s="15">
        <f>Medicam_Nun_e_Gomes[[#This Row],[VALOR UNID]]/6*(Medicam_Dados[[#This Row],[QUANT]])</f>
        <v>0</v>
      </c>
      <c r="J205" s="15">
        <f>Medicam_Nun_e_Gomes[[#This Row],[VALOR MÊS ]]*12</f>
        <v>0</v>
      </c>
      <c r="M205" s="15"/>
      <c r="P205" s="15">
        <f>Medicam_Nun_e_Gomes[[#This Row],[VALOR UNID]]</f>
        <v>0</v>
      </c>
      <c r="Q205" s="15" t="e">
        <f>#REF!</f>
        <v>#REF!</v>
      </c>
      <c r="R205" s="15" t="e">
        <f>#REF!</f>
        <v>#REF!</v>
      </c>
    </row>
    <row r="206" spans="1:18" s="8" customFormat="1" ht="33.75" x14ac:dyDescent="0.25">
      <c r="A206" s="22" t="s">
        <v>524</v>
      </c>
      <c r="B206" s="21" t="s">
        <v>425</v>
      </c>
      <c r="C206" s="21" t="s">
        <v>525</v>
      </c>
      <c r="D206" s="21" t="s">
        <v>1215</v>
      </c>
      <c r="E206" s="22" t="s">
        <v>526</v>
      </c>
      <c r="F206" s="21" t="s">
        <v>8</v>
      </c>
      <c r="G206" s="22">
        <v>634</v>
      </c>
      <c r="H206" s="235"/>
      <c r="I206" s="236">
        <f>Medicam_Nun_e_Gomes[[#This Row],[VALOR UNID]]*Medicam_Dados[[#This Row],[QUANT]]</f>
        <v>0</v>
      </c>
      <c r="J206" s="236">
        <f>Medicam_Nun_e_Gomes[[#This Row],[VALOR MÊS ]]*12</f>
        <v>0</v>
      </c>
      <c r="M206" s="15"/>
      <c r="P206" s="15">
        <f>Medicam_Nun_e_Gomes[[#This Row],[VALOR UNID]]</f>
        <v>0</v>
      </c>
      <c r="Q206" s="15" t="e">
        <f>#REF!</f>
        <v>#REF!</v>
      </c>
      <c r="R206" s="15" t="e">
        <f>#REF!</f>
        <v>#REF!</v>
      </c>
    </row>
    <row r="207" spans="1:18" s="8" customFormat="1" ht="33.75" x14ac:dyDescent="0.25">
      <c r="A207" s="22" t="s">
        <v>527</v>
      </c>
      <c r="B207" s="21" t="s">
        <v>425</v>
      </c>
      <c r="C207" s="21" t="s">
        <v>528</v>
      </c>
      <c r="D207" s="21" t="s">
        <v>1261</v>
      </c>
      <c r="E207" s="22" t="s">
        <v>529</v>
      </c>
      <c r="F207" s="21" t="s">
        <v>299</v>
      </c>
      <c r="G207" s="22">
        <v>5</v>
      </c>
      <c r="H207" s="170"/>
      <c r="I207" s="15">
        <f>Medicam_Nun_e_Gomes[[#This Row],[VALOR UNID]]*Medicam_Dados[[#This Row],[QUANT]]</f>
        <v>0</v>
      </c>
      <c r="J207" s="15">
        <f>Medicam_Nun_e_Gomes[[#This Row],[VALOR MÊS ]]*12</f>
        <v>0</v>
      </c>
      <c r="M207" s="15"/>
      <c r="P207" s="15">
        <f>Medicam_Nun_e_Gomes[[#This Row],[VALOR UNID]]</f>
        <v>0</v>
      </c>
      <c r="Q207" s="15" t="e">
        <f>#REF!</f>
        <v>#REF!</v>
      </c>
      <c r="R207" s="15" t="e">
        <f>#REF!</f>
        <v>#REF!</v>
      </c>
    </row>
    <row r="208" spans="1:18" s="8" customFormat="1" ht="33.75" x14ac:dyDescent="0.25">
      <c r="A208" s="22" t="s">
        <v>530</v>
      </c>
      <c r="B208" s="21" t="s">
        <v>425</v>
      </c>
      <c r="C208" s="21" t="s">
        <v>531</v>
      </c>
      <c r="D208" s="21" t="s">
        <v>1262</v>
      </c>
      <c r="E208" s="22" t="s">
        <v>320</v>
      </c>
      <c r="F208" s="21" t="s">
        <v>40</v>
      </c>
      <c r="G208" s="22">
        <v>40</v>
      </c>
      <c r="H208" s="235"/>
      <c r="I208" s="236">
        <f>Medicam_Nun_e_Gomes[[#This Row],[VALOR UNID]]*Medicam_Dados[[#This Row],[QUANT]]</f>
        <v>0</v>
      </c>
      <c r="J208" s="236">
        <f>Medicam_Nun_e_Gomes[[#This Row],[VALOR MÊS ]]*12</f>
        <v>0</v>
      </c>
      <c r="M208" s="15"/>
      <c r="P208" s="15">
        <f>Medicam_Nun_e_Gomes[[#This Row],[VALOR UNID]]</f>
        <v>0</v>
      </c>
      <c r="Q208" s="15" t="e">
        <f>#REF!</f>
        <v>#REF!</v>
      </c>
      <c r="R208" s="15" t="e">
        <f>#REF!</f>
        <v>#REF!</v>
      </c>
    </row>
    <row r="209" spans="1:18" s="8" customFormat="1" ht="33.75" x14ac:dyDescent="0.25">
      <c r="A209" s="22" t="s">
        <v>532</v>
      </c>
      <c r="B209" s="21" t="s">
        <v>425</v>
      </c>
      <c r="C209" s="21" t="s">
        <v>531</v>
      </c>
      <c r="D209" s="21" t="s">
        <v>1216</v>
      </c>
      <c r="E209" s="22" t="s">
        <v>69</v>
      </c>
      <c r="F209" s="21" t="s">
        <v>8</v>
      </c>
      <c r="G209" s="22">
        <v>200</v>
      </c>
      <c r="H209" s="170"/>
      <c r="I209" s="15">
        <f>Medicam_Nun_e_Gomes[[#This Row],[VALOR UNID]]*Medicam_Dados[[#This Row],[QUANT]]</f>
        <v>0</v>
      </c>
      <c r="J209" s="15">
        <f>Medicam_Nun_e_Gomes[[#This Row],[VALOR MÊS ]]*12</f>
        <v>0</v>
      </c>
      <c r="M209" s="15"/>
      <c r="P209" s="15">
        <f>Medicam_Nun_e_Gomes[[#This Row],[VALOR UNID]]</f>
        <v>0</v>
      </c>
      <c r="Q209" s="15" t="e">
        <f>#REF!</f>
        <v>#REF!</v>
      </c>
      <c r="R209" s="15" t="e">
        <f>#REF!</f>
        <v>#REF!</v>
      </c>
    </row>
    <row r="210" spans="1:18" s="8" customFormat="1" ht="33.75" x14ac:dyDescent="0.25">
      <c r="A210" s="22" t="s">
        <v>533</v>
      </c>
      <c r="B210" s="21" t="s">
        <v>425</v>
      </c>
      <c r="C210" s="21" t="s">
        <v>534</v>
      </c>
      <c r="D210" s="21" t="s">
        <v>1217</v>
      </c>
      <c r="E210" s="22" t="s">
        <v>201</v>
      </c>
      <c r="F210" s="21" t="s">
        <v>535</v>
      </c>
      <c r="G210" s="22">
        <v>75</v>
      </c>
      <c r="H210" s="235"/>
      <c r="I210" s="236">
        <f>Medicam_Nun_e_Gomes[[#This Row],[VALOR UNID]]*Medicam_Dados[[#This Row],[QUANT]]</f>
        <v>0</v>
      </c>
      <c r="J210" s="236">
        <f>Medicam_Nun_e_Gomes[[#This Row],[VALOR MÊS ]]*12</f>
        <v>0</v>
      </c>
      <c r="M210" s="15"/>
      <c r="P210" s="15">
        <f>Medicam_Nun_e_Gomes[[#This Row],[VALOR UNID]]</f>
        <v>0</v>
      </c>
      <c r="Q210" s="15" t="e">
        <f>#REF!</f>
        <v>#REF!</v>
      </c>
      <c r="R210" s="15" t="e">
        <f>#REF!</f>
        <v>#REF!</v>
      </c>
    </row>
    <row r="211" spans="1:18" s="8" customFormat="1" ht="33.75" x14ac:dyDescent="0.25">
      <c r="A211" s="22" t="s">
        <v>536</v>
      </c>
      <c r="B211" s="21" t="s">
        <v>425</v>
      </c>
      <c r="C211" s="21" t="s">
        <v>537</v>
      </c>
      <c r="D211" s="21" t="s">
        <v>1218</v>
      </c>
      <c r="E211" s="22" t="s">
        <v>17</v>
      </c>
      <c r="F211" s="21" t="s">
        <v>8</v>
      </c>
      <c r="G211" s="22">
        <v>79</v>
      </c>
      <c r="H211" s="170"/>
      <c r="I211" s="15">
        <f>Medicam_Nun_e_Gomes[[#This Row],[VALOR UNID]]/6*(Medicam_Dados[[#This Row],[QUANT]])</f>
        <v>0</v>
      </c>
      <c r="J211" s="15">
        <f>Medicam_Nun_e_Gomes[[#This Row],[VALOR MÊS ]]*12</f>
        <v>0</v>
      </c>
      <c r="M211" s="15"/>
      <c r="P211" s="15">
        <f>Medicam_Nun_e_Gomes[[#This Row],[VALOR UNID]]</f>
        <v>0</v>
      </c>
      <c r="Q211" s="15" t="e">
        <f>#REF!</f>
        <v>#REF!</v>
      </c>
      <c r="R211" s="15" t="e">
        <f>#REF!</f>
        <v>#REF!</v>
      </c>
    </row>
    <row r="212" spans="1:18" s="8" customFormat="1" x14ac:dyDescent="0.25">
      <c r="A212" s="22"/>
      <c r="B212" s="21"/>
      <c r="C212" s="21"/>
      <c r="D212" s="21"/>
      <c r="E212" s="22"/>
      <c r="F212" s="21"/>
      <c r="G212" s="144">
        <f>SUBTOTAL(109,G4:G211)</f>
        <v>283301</v>
      </c>
      <c r="H212" s="135"/>
      <c r="I212" s="26">
        <f>SUBTOTAL(109,I4:I211)</f>
        <v>0</v>
      </c>
      <c r="J212" s="26">
        <f>SUBTOTAL(109,J4:J211)</f>
        <v>0</v>
      </c>
      <c r="M212" s="15"/>
      <c r="P212" s="15" t="e">
        <f>Medicam_Nun_e_Gomes[[#This Row],[VALOR UNID]]</f>
        <v>#VALUE!</v>
      </c>
      <c r="Q212" s="15" t="e">
        <f>#REF!</f>
        <v>#REF!</v>
      </c>
      <c r="R212" s="15" t="e">
        <f>#REF!</f>
        <v>#REF!</v>
      </c>
    </row>
    <row r="213" spans="1:18" s="8" customFormat="1" x14ac:dyDescent="0.25">
      <c r="A213" s="3"/>
      <c r="B213" s="288"/>
      <c r="C213" s="288"/>
      <c r="D213" s="288"/>
      <c r="E213" s="288"/>
      <c r="F213" s="288"/>
      <c r="G213" s="288"/>
      <c r="H213" s="134"/>
      <c r="I213" s="133"/>
      <c r="J213" s="3"/>
      <c r="M213" s="15"/>
      <c r="P213" s="15" t="e">
        <f>Medicam_Nun_e_Gomes[[#This Row],[VALOR UNID]]</f>
        <v>#VALUE!</v>
      </c>
      <c r="Q213" s="15" t="e">
        <f>#REF!</f>
        <v>#REF!</v>
      </c>
      <c r="R213" s="15" t="e">
        <f>#REF!</f>
        <v>#REF!</v>
      </c>
    </row>
    <row r="214" spans="1:18" s="8" customFormat="1" x14ac:dyDescent="0.25">
      <c r="A214" s="3"/>
      <c r="B214" s="288"/>
      <c r="C214" s="288"/>
      <c r="D214" s="288"/>
      <c r="E214" s="288"/>
      <c r="F214" s="288"/>
      <c r="G214" s="288"/>
      <c r="H214" s="134"/>
      <c r="I214" s="133"/>
      <c r="J214" s="3"/>
      <c r="M214" s="15"/>
      <c r="P214" s="15" t="e">
        <f>Medicam_Nun_e_Gomes[[#This Row],[VALOR UNID]]</f>
        <v>#VALUE!</v>
      </c>
      <c r="Q214" s="15" t="e">
        <f>#REF!</f>
        <v>#REF!</v>
      </c>
      <c r="R214" s="15" t="e">
        <f>#REF!</f>
        <v>#REF!</v>
      </c>
    </row>
    <row r="215" spans="1:18" s="8" customFormat="1" x14ac:dyDescent="0.25">
      <c r="A215" s="3"/>
      <c r="B215" s="10"/>
      <c r="C215" s="10"/>
      <c r="D215" s="10"/>
      <c r="E215" s="3"/>
      <c r="F215" s="10"/>
      <c r="G215" s="3"/>
      <c r="H215" s="134"/>
      <c r="I215" s="133"/>
      <c r="J215" s="3"/>
      <c r="M215" s="15"/>
      <c r="P215" s="15" t="e">
        <f>Medicam_Nun_e_Gomes[[#This Row],[VALOR UNID]]</f>
        <v>#VALUE!</v>
      </c>
      <c r="Q215" s="15" t="e">
        <f>#REF!</f>
        <v>#REF!</v>
      </c>
      <c r="R215" s="15" t="e">
        <f>#REF!</f>
        <v>#REF!</v>
      </c>
    </row>
    <row r="216" spans="1:18" s="8" customFormat="1" x14ac:dyDescent="0.25">
      <c r="A216" s="3"/>
      <c r="B216" s="10"/>
      <c r="C216" s="10"/>
      <c r="D216" s="10"/>
      <c r="E216" s="3"/>
      <c r="F216" s="10"/>
      <c r="G216" s="3"/>
      <c r="H216" s="134"/>
      <c r="I216" s="133"/>
      <c r="J216" s="3"/>
      <c r="M216" s="15"/>
      <c r="P216" s="15" t="e">
        <f>Medicam_Nun_e_Gomes[[#This Row],[VALOR UNID]]</f>
        <v>#VALUE!</v>
      </c>
      <c r="Q216" s="15" t="e">
        <f>#REF!</f>
        <v>#REF!</v>
      </c>
      <c r="R216" s="15" t="e">
        <f>#REF!</f>
        <v>#REF!</v>
      </c>
    </row>
    <row r="217" spans="1:18" s="8" customFormat="1" x14ac:dyDescent="0.25">
      <c r="A217" s="3"/>
      <c r="B217" s="10"/>
      <c r="C217" s="10"/>
      <c r="D217" s="10"/>
      <c r="E217" s="3"/>
      <c r="F217" s="10"/>
      <c r="G217" s="3"/>
      <c r="H217" s="134"/>
      <c r="I217" s="133"/>
      <c r="J217" s="3"/>
      <c r="M217" s="15"/>
      <c r="P217" s="15" t="e">
        <f>Medicam_Nun_e_Gomes[[#This Row],[VALOR UNID]]</f>
        <v>#VALUE!</v>
      </c>
      <c r="Q217" s="15" t="e">
        <f>#REF!</f>
        <v>#REF!</v>
      </c>
      <c r="R217" s="15" t="e">
        <f>#REF!</f>
        <v>#REF!</v>
      </c>
    </row>
    <row r="218" spans="1:18" s="8" customFormat="1" x14ac:dyDescent="0.25">
      <c r="A218" s="3"/>
      <c r="B218" s="10"/>
      <c r="C218" s="10"/>
      <c r="D218" s="10"/>
      <c r="E218" s="3"/>
      <c r="F218" s="10"/>
      <c r="G218" s="3"/>
      <c r="H218" s="134"/>
      <c r="I218" s="133"/>
      <c r="J218" s="3"/>
      <c r="M218" s="15"/>
      <c r="P218" s="15" t="e">
        <f>Medicam_Nun_e_Gomes[[#This Row],[VALOR UNID]]</f>
        <v>#VALUE!</v>
      </c>
      <c r="Q218" s="15" t="e">
        <f>#REF!</f>
        <v>#REF!</v>
      </c>
      <c r="R218" s="15" t="e">
        <f>#REF!</f>
        <v>#REF!</v>
      </c>
    </row>
    <row r="219" spans="1:18" s="8" customFormat="1" x14ac:dyDescent="0.25">
      <c r="A219" s="3"/>
      <c r="B219" s="10"/>
      <c r="C219" s="10"/>
      <c r="D219" s="10"/>
      <c r="E219" s="3"/>
      <c r="F219" s="10"/>
      <c r="G219" s="3"/>
      <c r="H219" s="134"/>
      <c r="I219" s="133"/>
      <c r="J219" s="3"/>
      <c r="M219" s="15"/>
      <c r="P219" s="15" t="e">
        <f>Medicam_Nun_e_Gomes[[#This Row],[VALOR UNID]]</f>
        <v>#VALUE!</v>
      </c>
      <c r="Q219" s="15" t="e">
        <f>#REF!</f>
        <v>#REF!</v>
      </c>
      <c r="R219" s="15" t="e">
        <f>#REF!</f>
        <v>#REF!</v>
      </c>
    </row>
    <row r="220" spans="1:18" s="8" customFormat="1" x14ac:dyDescent="0.25">
      <c r="A220" s="3"/>
      <c r="B220" s="10"/>
      <c r="C220" s="10"/>
      <c r="D220" s="10"/>
      <c r="E220" s="3"/>
      <c r="F220" s="10"/>
      <c r="G220" s="3"/>
      <c r="H220" s="134"/>
      <c r="I220" s="133"/>
      <c r="J220" s="3"/>
      <c r="M220" s="15"/>
      <c r="P220" s="15" t="e">
        <f>Medicam_Nun_e_Gomes[[#This Row],[VALOR UNID]]</f>
        <v>#VALUE!</v>
      </c>
      <c r="Q220" s="15" t="e">
        <f>#REF!</f>
        <v>#REF!</v>
      </c>
      <c r="R220" s="15" t="e">
        <f>#REF!</f>
        <v>#REF!</v>
      </c>
    </row>
    <row r="221" spans="1:18" s="8" customFormat="1" x14ac:dyDescent="0.25">
      <c r="A221" s="3"/>
      <c r="B221" s="10"/>
      <c r="C221" s="10"/>
      <c r="D221" s="10"/>
      <c r="E221" s="3"/>
      <c r="F221" s="10"/>
      <c r="G221" s="3"/>
      <c r="H221" s="134"/>
      <c r="I221" s="133"/>
      <c r="J221" s="3"/>
      <c r="M221" s="15"/>
      <c r="P221" s="15" t="e">
        <f>Medicam_Nun_e_Gomes[[#This Row],[VALOR UNID]]</f>
        <v>#VALUE!</v>
      </c>
      <c r="Q221" s="15" t="e">
        <f>#REF!</f>
        <v>#REF!</v>
      </c>
      <c r="R221" s="15" t="e">
        <f>#REF!</f>
        <v>#REF!</v>
      </c>
    </row>
    <row r="222" spans="1:18" s="8" customFormat="1" x14ac:dyDescent="0.25">
      <c r="A222" s="3"/>
      <c r="B222" s="10"/>
      <c r="C222" s="10"/>
      <c r="D222" s="10"/>
      <c r="E222" s="3"/>
      <c r="F222" s="10"/>
      <c r="G222" s="3"/>
      <c r="H222" s="134"/>
      <c r="I222" s="133"/>
      <c r="J222" s="3"/>
      <c r="M222" s="15"/>
      <c r="P222" s="15" t="e">
        <f>Medicam_Nun_e_Gomes[[#This Row],[VALOR UNID]]</f>
        <v>#VALUE!</v>
      </c>
      <c r="Q222" s="15" t="e">
        <f>#REF!</f>
        <v>#REF!</v>
      </c>
      <c r="R222" s="15" t="e">
        <f>#REF!</f>
        <v>#REF!</v>
      </c>
    </row>
    <row r="223" spans="1:18" s="8" customFormat="1" x14ac:dyDescent="0.25">
      <c r="A223" s="3"/>
      <c r="B223" s="10"/>
      <c r="C223" s="10"/>
      <c r="D223" s="10"/>
      <c r="E223" s="3"/>
      <c r="F223" s="10"/>
      <c r="G223" s="3"/>
      <c r="H223" s="134"/>
      <c r="I223" s="133"/>
      <c r="J223" s="3"/>
      <c r="M223" s="15"/>
      <c r="P223" s="15" t="e">
        <f>Medicam_Nun_e_Gomes[[#This Row],[VALOR UNID]]</f>
        <v>#VALUE!</v>
      </c>
      <c r="Q223" s="15" t="e">
        <f>#REF!</f>
        <v>#REF!</v>
      </c>
      <c r="R223" s="15" t="e">
        <f>#REF!</f>
        <v>#REF!</v>
      </c>
    </row>
    <row r="224" spans="1:18" x14ac:dyDescent="0.25">
      <c r="M224" s="16"/>
    </row>
  </sheetData>
  <sheetProtection algorithmName="SHA-512" hashValue="u3curb3liTJv332cscSrKTXQdzNvfCheJkaV+yTbmaibyU2zFWKW3E6q0CTv/noEjp9SPVDb4DT7wna88Ou+pQ==" saltValue="vIRKAujmZZHDnR/ygJTD7w==" spinCount="100000" sheet="1" objects="1" scenarios="1" selectLockedCells="1"/>
  <mergeCells count="2">
    <mergeCell ref="B213:G214"/>
    <mergeCell ref="A1:J2"/>
  </mergeCells>
  <phoneticPr fontId="1" type="noConversion"/>
  <pageMargins left="1.8897637795275593" right="0.70866141732283472" top="0.74803149606299213" bottom="0.74803149606299213" header="0.31496062992125984" footer="0.31496062992125984"/>
  <pageSetup paperSize="8" orientation="landscape"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223"/>
  <sheetViews>
    <sheetView showGridLines="0" zoomScaleNormal="100" workbookViewId="0">
      <selection activeCell="H28" sqref="H28"/>
    </sheetView>
  </sheetViews>
  <sheetFormatPr defaultColWidth="8.85546875" defaultRowHeight="11.25" outlineLevelCol="1" x14ac:dyDescent="0.25"/>
  <cols>
    <col min="1" max="1" width="6.7109375" style="3" customWidth="1"/>
    <col min="2" max="2" width="11.85546875" style="3" bestFit="1" customWidth="1" outlineLevel="1"/>
    <col min="3" max="3" width="14.7109375" style="10" customWidth="1"/>
    <col min="4" max="4" width="13.7109375" style="10" customWidth="1"/>
    <col min="5" max="5" width="16.85546875" style="10" customWidth="1"/>
    <col min="6" max="6" width="9.140625" style="10" customWidth="1"/>
    <col min="7" max="7" width="7.7109375" style="3" customWidth="1"/>
    <col min="8" max="8" width="15.7109375" style="3" customWidth="1"/>
    <col min="9" max="9" width="13.7109375" style="3" customWidth="1"/>
    <col min="10" max="10" width="15.7109375" style="3" customWidth="1"/>
    <col min="11" max="11" width="14.28515625" style="3" customWidth="1"/>
    <col min="12" max="12" width="11.7109375" style="3" hidden="1" customWidth="1" outlineLevel="1"/>
    <col min="13" max="13" width="9.140625" style="3" customWidth="1" collapsed="1"/>
    <col min="14" max="14" width="6.85546875" style="3" customWidth="1"/>
    <col min="15" max="16384" width="8.85546875" style="3"/>
  </cols>
  <sheetData>
    <row r="1" spans="1:14" ht="11.25" customHeight="1" x14ac:dyDescent="0.25">
      <c r="A1" s="289" t="s">
        <v>1338</v>
      </c>
      <c r="B1" s="289"/>
      <c r="C1" s="289"/>
      <c r="D1" s="289"/>
      <c r="E1" s="289"/>
      <c r="F1" s="289"/>
      <c r="G1" s="289"/>
      <c r="H1" s="289"/>
      <c r="I1" s="289"/>
      <c r="J1" s="289"/>
    </row>
    <row r="2" spans="1:14" ht="11.25" customHeight="1" x14ac:dyDescent="0.25">
      <c r="A2" s="289"/>
      <c r="B2" s="289"/>
      <c r="C2" s="289"/>
      <c r="D2" s="289"/>
      <c r="E2" s="289"/>
      <c r="F2" s="289"/>
      <c r="G2" s="289"/>
      <c r="H2" s="289"/>
      <c r="I2" s="289"/>
      <c r="J2" s="289"/>
    </row>
    <row r="3" spans="1:14" s="7" customFormat="1" ht="21" x14ac:dyDescent="0.25">
      <c r="A3" s="7" t="s">
        <v>1119</v>
      </c>
      <c r="B3" s="7" t="s">
        <v>1055</v>
      </c>
      <c r="C3" s="7" t="s">
        <v>538</v>
      </c>
      <c r="D3" s="7" t="s">
        <v>539</v>
      </c>
      <c r="E3" s="7" t="s">
        <v>540</v>
      </c>
      <c r="F3" s="7" t="s">
        <v>541</v>
      </c>
      <c r="G3" s="7" t="s">
        <v>1593</v>
      </c>
      <c r="H3" s="183" t="s">
        <v>1385</v>
      </c>
      <c r="I3" s="7" t="s">
        <v>1321</v>
      </c>
      <c r="J3" s="7" t="s">
        <v>1322</v>
      </c>
      <c r="L3" s="7" t="s">
        <v>1125</v>
      </c>
    </row>
    <row r="4" spans="1:14" s="8" customFormat="1" ht="26.25" customHeight="1" x14ac:dyDescent="0.25">
      <c r="A4" s="8" t="s">
        <v>4</v>
      </c>
      <c r="B4" s="8" t="s">
        <v>1319</v>
      </c>
      <c r="C4" s="9" t="s">
        <v>1130</v>
      </c>
      <c r="D4" s="9" t="s">
        <v>542</v>
      </c>
      <c r="E4" s="9" t="s">
        <v>543</v>
      </c>
      <c r="F4" s="9" t="s">
        <v>544</v>
      </c>
      <c r="G4" s="8">
        <v>15</v>
      </c>
      <c r="H4" s="237"/>
      <c r="I4" s="236">
        <f>Mat_Consum_Nun_e_Gomes[[#This Row],[VALOR UNID]]*Mat_Consum_Dados[[#This Row],[QUANT ]]</f>
        <v>0</v>
      </c>
      <c r="J4" s="236">
        <f>Mat_Consum_Nun_e_Gomes[[#This Row],[VALOR MÊS]]*12</f>
        <v>0</v>
      </c>
      <c r="L4" s="11"/>
      <c r="N4" s="15"/>
    </row>
    <row r="5" spans="1:14" s="8" customFormat="1" ht="35.25" customHeight="1" x14ac:dyDescent="0.25">
      <c r="A5" s="8" t="s">
        <v>9</v>
      </c>
      <c r="C5" s="9" t="s">
        <v>1130</v>
      </c>
      <c r="D5" s="9" t="s">
        <v>545</v>
      </c>
      <c r="E5" s="9" t="s">
        <v>546</v>
      </c>
      <c r="F5" s="9" t="s">
        <v>547</v>
      </c>
      <c r="G5" s="8">
        <v>85</v>
      </c>
      <c r="H5" s="171"/>
      <c r="I5" s="15">
        <f>Mat_Consum_Nun_e_Gomes[[#This Row],[VALOR UNID]]*Mat_Consum_Dados[[#This Row],[QUANT ]]</f>
        <v>0</v>
      </c>
      <c r="J5" s="15">
        <f>Mat_Consum_Nun_e_Gomes[[#This Row],[VALOR MÊS]]*12</f>
        <v>0</v>
      </c>
      <c r="L5" s="12"/>
      <c r="N5" s="15"/>
    </row>
    <row r="6" spans="1:14" s="8" customFormat="1" ht="26.25" customHeight="1" x14ac:dyDescent="0.25">
      <c r="A6" s="8" t="s">
        <v>12</v>
      </c>
      <c r="C6" s="9" t="s">
        <v>1130</v>
      </c>
      <c r="D6" s="9" t="s">
        <v>548</v>
      </c>
      <c r="E6" s="9" t="s">
        <v>549</v>
      </c>
      <c r="F6" s="9" t="s">
        <v>550</v>
      </c>
      <c r="G6" s="8">
        <v>15</v>
      </c>
      <c r="H6" s="237"/>
      <c r="I6" s="236">
        <f>Mat_Consum_Nun_e_Gomes[[#This Row],[VALOR UNID]]*Mat_Consum_Dados[[#This Row],[QUANT ]]</f>
        <v>0</v>
      </c>
      <c r="J6" s="236">
        <f>Mat_Consum_Nun_e_Gomes[[#This Row],[VALOR MÊS]]*12</f>
        <v>0</v>
      </c>
      <c r="L6" s="12"/>
      <c r="N6" s="15"/>
    </row>
    <row r="7" spans="1:14" s="8" customFormat="1" ht="26.25" customHeight="1" x14ac:dyDescent="0.25">
      <c r="A7" s="8" t="s">
        <v>15</v>
      </c>
      <c r="B7" s="8" t="s">
        <v>1319</v>
      </c>
      <c r="C7" s="9" t="s">
        <v>1130</v>
      </c>
      <c r="D7" s="9" t="s">
        <v>551</v>
      </c>
      <c r="E7" s="9" t="s">
        <v>552</v>
      </c>
      <c r="F7" s="9" t="s">
        <v>553</v>
      </c>
      <c r="G7" s="8">
        <v>2690</v>
      </c>
      <c r="H7" s="171"/>
      <c r="I7" s="15">
        <f>Mat_Consum_Nun_e_Gomes[[#This Row],[VALOR UNID]]*Mat_Consum_Dados[[#This Row],[QUANT ]]</f>
        <v>0</v>
      </c>
      <c r="J7" s="15">
        <f>Mat_Consum_Nun_e_Gomes[[#This Row],[VALOR MÊS]]*12</f>
        <v>0</v>
      </c>
      <c r="L7" s="12"/>
      <c r="N7" s="15"/>
    </row>
    <row r="8" spans="1:14" s="8" customFormat="1" ht="26.25" customHeight="1" x14ac:dyDescent="0.25">
      <c r="A8" s="8" t="s">
        <v>18</v>
      </c>
      <c r="B8" s="8" t="s">
        <v>1319</v>
      </c>
      <c r="C8" s="9" t="s">
        <v>1130</v>
      </c>
      <c r="D8" s="9" t="s">
        <v>551</v>
      </c>
      <c r="E8" s="9" t="s">
        <v>554</v>
      </c>
      <c r="F8" s="9" t="s">
        <v>553</v>
      </c>
      <c r="G8" s="8">
        <v>1793</v>
      </c>
      <c r="H8" s="237"/>
      <c r="I8" s="236">
        <f>Mat_Consum_Nun_e_Gomes[[#This Row],[VALOR UNID]]*Mat_Consum_Dados[[#This Row],[QUANT ]]</f>
        <v>0</v>
      </c>
      <c r="J8" s="236">
        <f>Mat_Consum_Nun_e_Gomes[[#This Row],[VALOR MÊS]]*12</f>
        <v>0</v>
      </c>
      <c r="L8" s="12"/>
      <c r="N8" s="15"/>
    </row>
    <row r="9" spans="1:14" s="8" customFormat="1" ht="26.25" customHeight="1" x14ac:dyDescent="0.25">
      <c r="A9" s="8" t="s">
        <v>21</v>
      </c>
      <c r="B9" s="8" t="s">
        <v>1319</v>
      </c>
      <c r="C9" s="9" t="s">
        <v>1130</v>
      </c>
      <c r="D9" s="9" t="s">
        <v>551</v>
      </c>
      <c r="E9" s="9" t="s">
        <v>555</v>
      </c>
      <c r="F9" s="9" t="s">
        <v>553</v>
      </c>
      <c r="G9" s="8">
        <v>1793</v>
      </c>
      <c r="H9" s="171"/>
      <c r="I9" s="15">
        <f>Mat_Consum_Nun_e_Gomes[[#This Row],[VALOR UNID]]*Mat_Consum_Dados[[#This Row],[QUANT ]]</f>
        <v>0</v>
      </c>
      <c r="J9" s="15">
        <f>Mat_Consum_Nun_e_Gomes[[#This Row],[VALOR MÊS]]*12</f>
        <v>0</v>
      </c>
      <c r="L9" s="12"/>
      <c r="N9" s="15"/>
    </row>
    <row r="10" spans="1:14" s="8" customFormat="1" ht="26.25" customHeight="1" x14ac:dyDescent="0.25">
      <c r="A10" s="8" t="s">
        <v>24</v>
      </c>
      <c r="B10" s="8" t="s">
        <v>1317</v>
      </c>
      <c r="C10" s="9" t="s">
        <v>1130</v>
      </c>
      <c r="D10" s="9" t="s">
        <v>556</v>
      </c>
      <c r="E10" s="9" t="s">
        <v>557</v>
      </c>
      <c r="F10" s="9" t="s">
        <v>558</v>
      </c>
      <c r="G10" s="8">
        <v>15</v>
      </c>
      <c r="H10" s="237"/>
      <c r="I10" s="236">
        <f>Mat_Consum_Nun_e_Gomes[[#This Row],[VALOR UNID]]*Mat_Consum_Dados[[#This Row],[QUANT ]]</f>
        <v>0</v>
      </c>
      <c r="J10" s="236">
        <f>Mat_Consum_Nun_e_Gomes[[#This Row],[VALOR MÊS]]*12</f>
        <v>0</v>
      </c>
      <c r="L10" s="12"/>
      <c r="N10" s="15"/>
    </row>
    <row r="11" spans="1:14" s="8" customFormat="1" ht="26.25" customHeight="1" x14ac:dyDescent="0.25">
      <c r="A11" s="8" t="s">
        <v>28</v>
      </c>
      <c r="B11" s="8" t="s">
        <v>1317</v>
      </c>
      <c r="C11" s="9" t="s">
        <v>1130</v>
      </c>
      <c r="D11" s="9" t="s">
        <v>559</v>
      </c>
      <c r="E11" s="9" t="s">
        <v>560</v>
      </c>
      <c r="F11" s="9" t="s">
        <v>561</v>
      </c>
      <c r="G11" s="8">
        <v>30</v>
      </c>
      <c r="H11" s="171"/>
      <c r="I11" s="15">
        <f>Mat_Consum_Nun_e_Gomes[[#This Row],[VALOR UNID]]*Mat_Consum_Dados[[#This Row],[QUANT ]]</f>
        <v>0</v>
      </c>
      <c r="J11" s="15">
        <f>Mat_Consum_Nun_e_Gomes[[#This Row],[VALOR MÊS]]*12</f>
        <v>0</v>
      </c>
      <c r="L11" s="12"/>
      <c r="N11" s="15"/>
    </row>
    <row r="12" spans="1:14" s="8" customFormat="1" ht="26.25" customHeight="1" x14ac:dyDescent="0.25">
      <c r="A12" s="8" t="s">
        <v>29</v>
      </c>
      <c r="B12" s="8" t="s">
        <v>1319</v>
      </c>
      <c r="C12" s="9" t="s">
        <v>1130</v>
      </c>
      <c r="D12" s="9" t="s">
        <v>562</v>
      </c>
      <c r="E12" s="9" t="s">
        <v>563</v>
      </c>
      <c r="F12" s="9" t="s">
        <v>564</v>
      </c>
      <c r="G12" s="8">
        <v>15</v>
      </c>
      <c r="H12" s="237"/>
      <c r="I12" s="236">
        <f>Mat_Consum_Nun_e_Gomes[[#This Row],[VALOR UNID]]*Mat_Consum_Dados[[#This Row],[QUANT ]]</f>
        <v>0</v>
      </c>
      <c r="J12" s="236">
        <f>Mat_Consum_Nun_e_Gomes[[#This Row],[VALOR MÊS]]*12</f>
        <v>0</v>
      </c>
      <c r="L12" s="12"/>
      <c r="N12" s="15"/>
    </row>
    <row r="13" spans="1:14" s="8" customFormat="1" ht="26.25" customHeight="1" x14ac:dyDescent="0.25">
      <c r="A13" s="8" t="s">
        <v>31</v>
      </c>
      <c r="B13" s="8" t="s">
        <v>1319</v>
      </c>
      <c r="C13" s="9" t="s">
        <v>1130</v>
      </c>
      <c r="D13" s="9" t="s">
        <v>565</v>
      </c>
      <c r="E13" s="9" t="s">
        <v>566</v>
      </c>
      <c r="F13" s="9" t="s">
        <v>564</v>
      </c>
      <c r="G13" s="8">
        <v>1700</v>
      </c>
      <c r="H13" s="171"/>
      <c r="I13" s="15">
        <f>Mat_Consum_Nun_e_Gomes[[#This Row],[VALOR UNID]]*Mat_Consum_Dados[[#This Row],[QUANT ]]</f>
        <v>0</v>
      </c>
      <c r="J13" s="15">
        <f>Mat_Consum_Nun_e_Gomes[[#This Row],[VALOR MÊS]]*12</f>
        <v>0</v>
      </c>
      <c r="L13" s="12"/>
      <c r="N13" s="15"/>
    </row>
    <row r="14" spans="1:14" s="8" customFormat="1" ht="26.25" customHeight="1" x14ac:dyDescent="0.25">
      <c r="A14" s="8" t="s">
        <v>35</v>
      </c>
      <c r="B14" s="8" t="s">
        <v>1319</v>
      </c>
      <c r="C14" s="9" t="s">
        <v>1130</v>
      </c>
      <c r="D14" s="9" t="s">
        <v>565</v>
      </c>
      <c r="E14" s="9" t="s">
        <v>567</v>
      </c>
      <c r="F14" s="9" t="s">
        <v>564</v>
      </c>
      <c r="G14" s="8">
        <v>1700</v>
      </c>
      <c r="H14" s="237"/>
      <c r="I14" s="236">
        <f>Mat_Consum_Nun_e_Gomes[[#This Row],[VALOR UNID]]*Mat_Consum_Dados[[#This Row],[QUANT ]]</f>
        <v>0</v>
      </c>
      <c r="J14" s="236">
        <f>Mat_Consum_Nun_e_Gomes[[#This Row],[VALOR MÊS]]*12</f>
        <v>0</v>
      </c>
      <c r="L14" s="12"/>
      <c r="N14" s="15"/>
    </row>
    <row r="15" spans="1:14" s="8" customFormat="1" ht="26.25" customHeight="1" x14ac:dyDescent="0.25">
      <c r="A15" s="8" t="s">
        <v>37</v>
      </c>
      <c r="B15" s="8" t="s">
        <v>1319</v>
      </c>
      <c r="C15" s="9" t="s">
        <v>1130</v>
      </c>
      <c r="D15" s="9" t="s">
        <v>568</v>
      </c>
      <c r="E15" s="9" t="s">
        <v>569</v>
      </c>
      <c r="F15" s="9" t="s">
        <v>564</v>
      </c>
      <c r="G15" s="8">
        <v>1700</v>
      </c>
      <c r="H15" s="171"/>
      <c r="I15" s="15">
        <f>Mat_Consum_Nun_e_Gomes[[#This Row],[VALOR UNID]]*Mat_Consum_Dados[[#This Row],[QUANT ]]</f>
        <v>0</v>
      </c>
      <c r="J15" s="15">
        <f>Mat_Consum_Nun_e_Gomes[[#This Row],[VALOR MÊS]]*12</f>
        <v>0</v>
      </c>
      <c r="L15" s="12"/>
      <c r="N15" s="15"/>
    </row>
    <row r="16" spans="1:14" s="8" customFormat="1" ht="26.25" customHeight="1" x14ac:dyDescent="0.25">
      <c r="A16" s="8" t="s">
        <v>41</v>
      </c>
      <c r="B16" s="8" t="s">
        <v>1319</v>
      </c>
      <c r="C16" s="9" t="s">
        <v>1130</v>
      </c>
      <c r="D16" s="9" t="s">
        <v>570</v>
      </c>
      <c r="E16" s="9" t="s">
        <v>543</v>
      </c>
      <c r="F16" s="9" t="s">
        <v>553</v>
      </c>
      <c r="G16" s="8">
        <v>58</v>
      </c>
      <c r="H16" s="237"/>
      <c r="I16" s="236">
        <f>Mat_Consum_Nun_e_Gomes[[#This Row],[VALOR UNID]]*Mat_Consum_Dados[[#This Row],[QUANT ]]</f>
        <v>0</v>
      </c>
      <c r="J16" s="236">
        <f>Mat_Consum_Nun_e_Gomes[[#This Row],[VALOR MÊS]]*12</f>
        <v>0</v>
      </c>
      <c r="L16" s="12"/>
      <c r="N16" s="15"/>
    </row>
    <row r="17" spans="1:14" s="8" customFormat="1" ht="26.25" customHeight="1" x14ac:dyDescent="0.25">
      <c r="A17" s="8" t="s">
        <v>43</v>
      </c>
      <c r="B17" s="8" t="s">
        <v>1319</v>
      </c>
      <c r="C17" s="9" t="s">
        <v>1130</v>
      </c>
      <c r="D17" s="9" t="s">
        <v>571</v>
      </c>
      <c r="E17" s="9" t="s">
        <v>543</v>
      </c>
      <c r="F17" s="9" t="s">
        <v>553</v>
      </c>
      <c r="G17" s="8">
        <v>15</v>
      </c>
      <c r="H17" s="171"/>
      <c r="I17" s="15">
        <f>Mat_Consum_Nun_e_Gomes[[#This Row],[VALOR UNID]]*Mat_Consum_Dados[[#This Row],[QUANT ]]</f>
        <v>0</v>
      </c>
      <c r="J17" s="15">
        <f>Mat_Consum_Nun_e_Gomes[[#This Row],[VALOR MÊS]]*12</f>
        <v>0</v>
      </c>
      <c r="L17" s="12"/>
      <c r="N17" s="15"/>
    </row>
    <row r="18" spans="1:14" s="8" customFormat="1" ht="26.25" customHeight="1" x14ac:dyDescent="0.25">
      <c r="A18" s="8" t="s">
        <v>46</v>
      </c>
      <c r="B18" s="8" t="s">
        <v>1319</v>
      </c>
      <c r="C18" s="9" t="s">
        <v>1130</v>
      </c>
      <c r="D18" s="9" t="s">
        <v>572</v>
      </c>
      <c r="E18" s="9" t="s">
        <v>573</v>
      </c>
      <c r="F18" s="9" t="s">
        <v>553</v>
      </c>
      <c r="G18" s="8">
        <v>15</v>
      </c>
      <c r="H18" s="237"/>
      <c r="I18" s="236">
        <f>Mat_Consum_Nun_e_Gomes[[#This Row],[VALOR UNID]]*Mat_Consum_Dados[[#This Row],[QUANT ]]</f>
        <v>0</v>
      </c>
      <c r="J18" s="236">
        <f>Mat_Consum_Nun_e_Gomes[[#This Row],[VALOR MÊS]]*12</f>
        <v>0</v>
      </c>
      <c r="L18" s="12"/>
      <c r="N18" s="15"/>
    </row>
    <row r="19" spans="1:14" s="8" customFormat="1" ht="26.25" customHeight="1" x14ac:dyDescent="0.25">
      <c r="A19" s="8" t="s">
        <v>49</v>
      </c>
      <c r="C19" s="9" t="s">
        <v>1130</v>
      </c>
      <c r="D19" s="9" t="s">
        <v>574</v>
      </c>
      <c r="E19" s="9" t="s">
        <v>575</v>
      </c>
      <c r="F19" s="9" t="s">
        <v>553</v>
      </c>
      <c r="G19" s="8">
        <v>3</v>
      </c>
      <c r="H19" s="171"/>
      <c r="I19" s="15">
        <f>Mat_Consum_Nun_e_Gomes[[#This Row],[VALOR UNID]]*Mat_Consum_Dados[[#This Row],[QUANT ]]</f>
        <v>0</v>
      </c>
      <c r="J19" s="15">
        <f>Mat_Consum_Nun_e_Gomes[[#This Row],[VALOR MÊS]]*12</f>
        <v>0</v>
      </c>
      <c r="L19" s="12"/>
      <c r="N19" s="15"/>
    </row>
    <row r="20" spans="1:14" s="8" customFormat="1" ht="26.25" customHeight="1" x14ac:dyDescent="0.25">
      <c r="A20" s="8" t="s">
        <v>53</v>
      </c>
      <c r="B20" s="8" t="s">
        <v>1319</v>
      </c>
      <c r="C20" s="9" t="s">
        <v>1130</v>
      </c>
      <c r="D20" s="9" t="s">
        <v>576</v>
      </c>
      <c r="E20" s="9" t="s">
        <v>575</v>
      </c>
      <c r="F20" s="9" t="s">
        <v>553</v>
      </c>
      <c r="G20" s="8">
        <v>15</v>
      </c>
      <c r="H20" s="237"/>
      <c r="I20" s="236">
        <f>Mat_Consum_Nun_e_Gomes[[#This Row],[VALOR UNID]]*Mat_Consum_Dados[[#This Row],[QUANT ]]</f>
        <v>0</v>
      </c>
      <c r="J20" s="236">
        <f>Mat_Consum_Nun_e_Gomes[[#This Row],[VALOR MÊS]]*12</f>
        <v>0</v>
      </c>
      <c r="L20" s="12"/>
      <c r="N20" s="15"/>
    </row>
    <row r="21" spans="1:14" s="8" customFormat="1" ht="26.25" customHeight="1" x14ac:dyDescent="0.25">
      <c r="A21" s="8" t="s">
        <v>57</v>
      </c>
      <c r="B21" s="8" t="s">
        <v>1319</v>
      </c>
      <c r="C21" s="9" t="s">
        <v>1130</v>
      </c>
      <c r="D21" s="9" t="s">
        <v>577</v>
      </c>
      <c r="E21" s="9" t="s">
        <v>578</v>
      </c>
      <c r="F21" s="9" t="s">
        <v>553</v>
      </c>
      <c r="G21" s="8">
        <v>90</v>
      </c>
      <c r="H21" s="171"/>
      <c r="I21" s="15">
        <f>Mat_Consum_Nun_e_Gomes[[#This Row],[VALOR UNID]]*Mat_Consum_Dados[[#This Row],[QUANT ]]</f>
        <v>0</v>
      </c>
      <c r="J21" s="15">
        <f>Mat_Consum_Nun_e_Gomes[[#This Row],[VALOR MÊS]]*12</f>
        <v>0</v>
      </c>
      <c r="L21" s="12"/>
      <c r="N21" s="15"/>
    </row>
    <row r="22" spans="1:14" s="8" customFormat="1" ht="26.25" customHeight="1" x14ac:dyDescent="0.25">
      <c r="A22" s="8" t="s">
        <v>59</v>
      </c>
      <c r="B22" s="8" t="s">
        <v>1319</v>
      </c>
      <c r="C22" s="9" t="s">
        <v>1130</v>
      </c>
      <c r="D22" s="9" t="s">
        <v>579</v>
      </c>
      <c r="E22" s="9" t="s">
        <v>580</v>
      </c>
      <c r="F22" s="9" t="s">
        <v>553</v>
      </c>
      <c r="G22" s="8">
        <v>60</v>
      </c>
      <c r="H22" s="237"/>
      <c r="I22" s="236">
        <f>Mat_Consum_Nun_e_Gomes[[#This Row],[VALOR UNID]]*Mat_Consum_Dados[[#This Row],[QUANT ]]</f>
        <v>0</v>
      </c>
      <c r="J22" s="236">
        <f>Mat_Consum_Nun_e_Gomes[[#This Row],[VALOR MÊS]]*12</f>
        <v>0</v>
      </c>
      <c r="L22" s="12"/>
      <c r="N22" s="15"/>
    </row>
    <row r="23" spans="1:14" s="8" customFormat="1" ht="26.25" customHeight="1" x14ac:dyDescent="0.25">
      <c r="A23" s="8" t="s">
        <v>62</v>
      </c>
      <c r="B23" s="8" t="s">
        <v>1319</v>
      </c>
      <c r="C23" s="9" t="s">
        <v>1130</v>
      </c>
      <c r="D23" s="9" t="s">
        <v>581</v>
      </c>
      <c r="E23" s="9">
        <v>7</v>
      </c>
      <c r="F23" s="9" t="s">
        <v>553</v>
      </c>
      <c r="G23" s="8">
        <v>15</v>
      </c>
      <c r="H23" s="171"/>
      <c r="I23" s="15">
        <f>Mat_Consum_Nun_e_Gomes[[#This Row],[VALOR UNID]]/6*(Mat_Consum_Dados[[#This Row],[QUANT ]])</f>
        <v>0</v>
      </c>
      <c r="J23" s="15">
        <f>Mat_Consum_Nun_e_Gomes[[#This Row],[VALOR MÊS]]*12</f>
        <v>0</v>
      </c>
      <c r="L23" s="12"/>
      <c r="N23" s="15"/>
    </row>
    <row r="24" spans="1:14" s="8" customFormat="1" ht="26.25" customHeight="1" x14ac:dyDescent="0.25">
      <c r="A24" s="8" t="s">
        <v>65</v>
      </c>
      <c r="B24" s="8" t="s">
        <v>1319</v>
      </c>
      <c r="C24" s="9" t="s">
        <v>1130</v>
      </c>
      <c r="D24" s="9" t="s">
        <v>581</v>
      </c>
      <c r="E24" s="9">
        <v>7.5</v>
      </c>
      <c r="F24" s="9" t="s">
        <v>553</v>
      </c>
      <c r="G24" s="8">
        <v>15</v>
      </c>
      <c r="H24" s="237"/>
      <c r="I24" s="236">
        <f>Mat_Consum_Nun_e_Gomes[[#This Row],[VALOR UNID]]/6*(Mat_Consum_Dados[[#This Row],[QUANT ]])</f>
        <v>0</v>
      </c>
      <c r="J24" s="236">
        <f>Mat_Consum_Nun_e_Gomes[[#This Row],[VALOR MÊS]]*12</f>
        <v>0</v>
      </c>
      <c r="L24" s="12"/>
      <c r="N24" s="15"/>
    </row>
    <row r="25" spans="1:14" s="8" customFormat="1" ht="26.25" customHeight="1" x14ac:dyDescent="0.25">
      <c r="A25" s="8" t="s">
        <v>67</v>
      </c>
      <c r="B25" s="8" t="s">
        <v>1319</v>
      </c>
      <c r="C25" s="9" t="s">
        <v>1130</v>
      </c>
      <c r="D25" s="9" t="s">
        <v>581</v>
      </c>
      <c r="E25" s="9">
        <v>8</v>
      </c>
      <c r="F25" s="9" t="s">
        <v>553</v>
      </c>
      <c r="G25" s="8">
        <v>15</v>
      </c>
      <c r="H25" s="171"/>
      <c r="I25" s="15">
        <f>Mat_Consum_Nun_e_Gomes[[#This Row],[VALOR UNID]]/6*(Mat_Consum_Dados[[#This Row],[QUANT ]])</f>
        <v>0</v>
      </c>
      <c r="J25" s="15">
        <f>Mat_Consum_Nun_e_Gomes[[#This Row],[VALOR MÊS]]*12</f>
        <v>0</v>
      </c>
      <c r="L25" s="12"/>
      <c r="N25" s="15"/>
    </row>
    <row r="26" spans="1:14" s="8" customFormat="1" ht="26.25" customHeight="1" x14ac:dyDescent="0.25">
      <c r="A26" s="8" t="s">
        <v>70</v>
      </c>
      <c r="B26" s="8" t="s">
        <v>1319</v>
      </c>
      <c r="C26" s="9" t="s">
        <v>1130</v>
      </c>
      <c r="D26" s="9" t="s">
        <v>581</v>
      </c>
      <c r="E26" s="9">
        <v>8.5</v>
      </c>
      <c r="F26" s="9" t="s">
        <v>553</v>
      </c>
      <c r="G26" s="8">
        <v>15</v>
      </c>
      <c r="H26" s="237"/>
      <c r="I26" s="236">
        <f>Mat_Consum_Nun_e_Gomes[[#This Row],[VALOR UNID]]/6*(Mat_Consum_Dados[[#This Row],[QUANT ]])</f>
        <v>0</v>
      </c>
      <c r="J26" s="236">
        <f>Mat_Consum_Nun_e_Gomes[[#This Row],[VALOR MÊS]]*12</f>
        <v>0</v>
      </c>
      <c r="L26" s="12"/>
      <c r="N26" s="15"/>
    </row>
    <row r="27" spans="1:14" s="8" customFormat="1" ht="26.25" customHeight="1" x14ac:dyDescent="0.25">
      <c r="A27" s="8" t="s">
        <v>73</v>
      </c>
      <c r="B27" s="8" t="s">
        <v>1319</v>
      </c>
      <c r="C27" s="9" t="s">
        <v>1130</v>
      </c>
      <c r="D27" s="9" t="s">
        <v>582</v>
      </c>
      <c r="E27" s="9" t="s">
        <v>583</v>
      </c>
      <c r="F27" s="9" t="s">
        <v>553</v>
      </c>
      <c r="G27" s="8">
        <v>50</v>
      </c>
      <c r="H27" s="171"/>
      <c r="I27" s="15">
        <f>Mat_Consum_Nun_e_Gomes[[#This Row],[VALOR UNID]]*Mat_Consum_Dados[[#This Row],[QUANT ]]</f>
        <v>0</v>
      </c>
      <c r="J27" s="15">
        <f>Mat_Consum_Nun_e_Gomes[[#This Row],[VALOR MÊS]]*12</f>
        <v>0</v>
      </c>
      <c r="L27" s="12"/>
      <c r="N27" s="15"/>
    </row>
    <row r="28" spans="1:14" s="8" customFormat="1" ht="26.25" customHeight="1" x14ac:dyDescent="0.25">
      <c r="A28" s="8" t="s">
        <v>75</v>
      </c>
      <c r="B28" s="8" t="s">
        <v>1319</v>
      </c>
      <c r="C28" s="9" t="s">
        <v>1130</v>
      </c>
      <c r="D28" s="9" t="s">
        <v>582</v>
      </c>
      <c r="E28" s="9" t="s">
        <v>584</v>
      </c>
      <c r="F28" s="9" t="s">
        <v>553</v>
      </c>
      <c r="G28" s="8">
        <v>50</v>
      </c>
      <c r="H28" s="237"/>
      <c r="I28" s="236">
        <f>Mat_Consum_Nun_e_Gomes[[#This Row],[VALOR UNID]]*Mat_Consum_Dados[[#This Row],[QUANT ]]</f>
        <v>0</v>
      </c>
      <c r="J28" s="236">
        <f>Mat_Consum_Nun_e_Gomes[[#This Row],[VALOR MÊS]]*12</f>
        <v>0</v>
      </c>
      <c r="L28" s="12"/>
      <c r="N28" s="15"/>
    </row>
    <row r="29" spans="1:14" s="8" customFormat="1" ht="26.25" customHeight="1" x14ac:dyDescent="0.25">
      <c r="A29" s="8" t="s">
        <v>79</v>
      </c>
      <c r="B29" s="8" t="s">
        <v>1319</v>
      </c>
      <c r="C29" s="9" t="s">
        <v>1130</v>
      </c>
      <c r="D29" s="9" t="s">
        <v>582</v>
      </c>
      <c r="E29" s="9" t="s">
        <v>585</v>
      </c>
      <c r="F29" s="9" t="s">
        <v>553</v>
      </c>
      <c r="G29" s="8">
        <v>50</v>
      </c>
      <c r="H29" s="171"/>
      <c r="I29" s="15">
        <f>Mat_Consum_Nun_e_Gomes[[#This Row],[VALOR UNID]]*Mat_Consum_Dados[[#This Row],[QUANT ]]</f>
        <v>0</v>
      </c>
      <c r="J29" s="15">
        <f>Mat_Consum_Nun_e_Gomes[[#This Row],[VALOR MÊS]]*12</f>
        <v>0</v>
      </c>
      <c r="L29" s="12"/>
      <c r="N29" s="15"/>
    </row>
    <row r="30" spans="1:14" s="8" customFormat="1" ht="26.25" customHeight="1" x14ac:dyDescent="0.25">
      <c r="A30" s="8" t="s">
        <v>82</v>
      </c>
      <c r="B30" s="8" t="s">
        <v>1319</v>
      </c>
      <c r="C30" s="9" t="s">
        <v>1130</v>
      </c>
      <c r="D30" s="9" t="s">
        <v>582</v>
      </c>
      <c r="E30" s="9" t="s">
        <v>586</v>
      </c>
      <c r="F30" s="9" t="s">
        <v>553</v>
      </c>
      <c r="G30" s="8">
        <v>50</v>
      </c>
      <c r="H30" s="237"/>
      <c r="I30" s="236">
        <f>Mat_Consum_Nun_e_Gomes[[#This Row],[VALOR UNID]]*Mat_Consum_Dados[[#This Row],[QUANT ]]</f>
        <v>0</v>
      </c>
      <c r="J30" s="236">
        <f>Mat_Consum_Nun_e_Gomes[[#This Row],[VALOR MÊS]]*12</f>
        <v>0</v>
      </c>
      <c r="L30" s="12"/>
      <c r="N30" s="15"/>
    </row>
    <row r="31" spans="1:14" s="8" customFormat="1" ht="26.25" customHeight="1" x14ac:dyDescent="0.25">
      <c r="A31" s="8" t="s">
        <v>86</v>
      </c>
      <c r="B31" s="8" t="s">
        <v>1319</v>
      </c>
      <c r="C31" s="9" t="s">
        <v>1130</v>
      </c>
      <c r="D31" s="9" t="s">
        <v>582</v>
      </c>
      <c r="E31" s="9" t="s">
        <v>587</v>
      </c>
      <c r="F31" s="9" t="s">
        <v>553</v>
      </c>
      <c r="G31" s="8">
        <v>50</v>
      </c>
      <c r="H31" s="171"/>
      <c r="I31" s="15">
        <f>Mat_Consum_Nun_e_Gomes[[#This Row],[VALOR UNID]]*Mat_Consum_Dados[[#This Row],[QUANT ]]</f>
        <v>0</v>
      </c>
      <c r="J31" s="15">
        <f>Mat_Consum_Nun_e_Gomes[[#This Row],[VALOR MÊS]]*12</f>
        <v>0</v>
      </c>
      <c r="L31" s="12"/>
      <c r="N31" s="15"/>
    </row>
    <row r="32" spans="1:14" s="8" customFormat="1" ht="26.25" customHeight="1" x14ac:dyDescent="0.25">
      <c r="A32" s="8" t="s">
        <v>88</v>
      </c>
      <c r="B32" s="8" t="s">
        <v>1319</v>
      </c>
      <c r="C32" s="9" t="s">
        <v>1130</v>
      </c>
      <c r="D32" s="9" t="s">
        <v>582</v>
      </c>
      <c r="E32" s="9" t="s">
        <v>588</v>
      </c>
      <c r="F32" s="9" t="s">
        <v>553</v>
      </c>
      <c r="G32" s="8">
        <v>50</v>
      </c>
      <c r="H32" s="237"/>
      <c r="I32" s="236">
        <f>Mat_Consum_Nun_e_Gomes[[#This Row],[VALOR UNID]]*Mat_Consum_Dados[[#This Row],[QUANT ]]</f>
        <v>0</v>
      </c>
      <c r="J32" s="236">
        <f>Mat_Consum_Nun_e_Gomes[[#This Row],[VALOR MÊS]]*12</f>
        <v>0</v>
      </c>
      <c r="L32" s="12"/>
      <c r="N32" s="15"/>
    </row>
    <row r="33" spans="1:14" s="8" customFormat="1" ht="26.25" customHeight="1" x14ac:dyDescent="0.25">
      <c r="A33" s="8" t="s">
        <v>91</v>
      </c>
      <c r="B33" s="8" t="s">
        <v>1319</v>
      </c>
      <c r="C33" s="9" t="s">
        <v>1130</v>
      </c>
      <c r="D33" s="9" t="s">
        <v>589</v>
      </c>
      <c r="E33" s="9" t="s">
        <v>19</v>
      </c>
      <c r="F33" s="9" t="s">
        <v>553</v>
      </c>
      <c r="G33" s="8">
        <v>15</v>
      </c>
      <c r="H33" s="171"/>
      <c r="I33" s="15">
        <f>Mat_Consum_Nun_e_Gomes[[#This Row],[VALOR UNID]]/6*(Mat_Consum_Dados[[#This Row],[QUANT ]])</f>
        <v>0</v>
      </c>
      <c r="J33" s="15">
        <f>Mat_Consum_Nun_e_Gomes[[#This Row],[VALOR MÊS]]*12</f>
        <v>0</v>
      </c>
      <c r="L33" s="12"/>
      <c r="N33" s="15"/>
    </row>
    <row r="34" spans="1:14" s="8" customFormat="1" ht="26.25" customHeight="1" x14ac:dyDescent="0.25">
      <c r="A34" s="8" t="s">
        <v>94</v>
      </c>
      <c r="C34" s="9" t="s">
        <v>1130</v>
      </c>
      <c r="D34" s="9" t="s">
        <v>590</v>
      </c>
      <c r="E34" s="9" t="s">
        <v>591</v>
      </c>
      <c r="F34" s="9" t="s">
        <v>592</v>
      </c>
      <c r="G34" s="8">
        <v>15</v>
      </c>
      <c r="H34" s="237"/>
      <c r="I34" s="236">
        <f>Mat_Consum_Nun_e_Gomes[[#This Row],[VALOR UNID]]*Mat_Consum_Dados[[#This Row],[QUANT ]]</f>
        <v>0</v>
      </c>
      <c r="J34" s="236">
        <f>Mat_Consum_Nun_e_Gomes[[#This Row],[VALOR MÊS]]*12</f>
        <v>0</v>
      </c>
      <c r="L34" s="12"/>
      <c r="N34" s="15"/>
    </row>
    <row r="35" spans="1:14" s="8" customFormat="1" ht="26.25" customHeight="1" x14ac:dyDescent="0.25">
      <c r="A35" s="8" t="s">
        <v>97</v>
      </c>
      <c r="C35" s="9" t="s">
        <v>1130</v>
      </c>
      <c r="D35" s="9" t="s">
        <v>593</v>
      </c>
      <c r="E35" s="9" t="s">
        <v>594</v>
      </c>
      <c r="F35" s="9" t="s">
        <v>592</v>
      </c>
      <c r="G35" s="8">
        <v>15</v>
      </c>
      <c r="H35" s="171"/>
      <c r="I35" s="15">
        <f>Mat_Consum_Nun_e_Gomes[[#This Row],[VALOR UNID]]*Mat_Consum_Dados[[#This Row],[QUANT ]]</f>
        <v>0</v>
      </c>
      <c r="J35" s="15">
        <f>Mat_Consum_Nun_e_Gomes[[#This Row],[VALOR MÊS]]*12</f>
        <v>0</v>
      </c>
      <c r="L35" s="12"/>
      <c r="N35" s="15"/>
    </row>
    <row r="36" spans="1:14" s="8" customFormat="1" ht="26.25" customHeight="1" x14ac:dyDescent="0.25">
      <c r="A36" s="8" t="s">
        <v>100</v>
      </c>
      <c r="B36" s="8" t="s">
        <v>1319</v>
      </c>
      <c r="C36" s="9" t="s">
        <v>1130</v>
      </c>
      <c r="D36" s="9" t="s">
        <v>595</v>
      </c>
      <c r="E36" s="9" t="s">
        <v>19</v>
      </c>
      <c r="F36" s="9" t="s">
        <v>553</v>
      </c>
      <c r="G36" s="8">
        <v>6</v>
      </c>
      <c r="H36" s="237"/>
      <c r="I36" s="236">
        <f>Mat_Consum_Nun_e_Gomes[[#This Row],[VALOR UNID]]*Mat_Consum_Dados[[#This Row],[QUANT ]]</f>
        <v>0</v>
      </c>
      <c r="J36" s="236">
        <f>Mat_Consum_Nun_e_Gomes[[#This Row],[VALOR MÊS]]*12</f>
        <v>0</v>
      </c>
      <c r="L36" s="12"/>
      <c r="N36" s="15"/>
    </row>
    <row r="37" spans="1:14" s="8" customFormat="1" ht="26.25" customHeight="1" x14ac:dyDescent="0.25">
      <c r="A37" s="8" t="s">
        <v>103</v>
      </c>
      <c r="B37" s="8" t="s">
        <v>1319</v>
      </c>
      <c r="C37" s="9" t="s">
        <v>1130</v>
      </c>
      <c r="D37" s="9" t="s">
        <v>596</v>
      </c>
      <c r="E37" s="9" t="s">
        <v>19</v>
      </c>
      <c r="F37" s="9" t="s">
        <v>553</v>
      </c>
      <c r="G37" s="8">
        <v>897</v>
      </c>
      <c r="H37" s="171"/>
      <c r="I37" s="15">
        <f>Mat_Consum_Nun_e_Gomes[[#This Row],[VALOR UNID]]*Mat_Consum_Dados[[#This Row],[QUANT ]]</f>
        <v>0</v>
      </c>
      <c r="J37" s="15">
        <f>Mat_Consum_Nun_e_Gomes[[#This Row],[VALOR MÊS]]*12</f>
        <v>0</v>
      </c>
      <c r="L37" s="12"/>
      <c r="N37" s="15"/>
    </row>
    <row r="38" spans="1:14" s="8" customFormat="1" ht="26.25" customHeight="1" x14ac:dyDescent="0.25">
      <c r="A38" s="8" t="s">
        <v>105</v>
      </c>
      <c r="B38" s="8" t="s">
        <v>1319</v>
      </c>
      <c r="C38" s="9" t="s">
        <v>1130</v>
      </c>
      <c r="D38" s="9" t="s">
        <v>597</v>
      </c>
      <c r="E38" s="9" t="s">
        <v>598</v>
      </c>
      <c r="F38" s="9" t="s">
        <v>599</v>
      </c>
      <c r="G38" s="8">
        <v>2690</v>
      </c>
      <c r="H38" s="237"/>
      <c r="I38" s="236">
        <f>Mat_Consum_Nun_e_Gomes[[#This Row],[VALOR UNID]]*Mat_Consum_Dados[[#This Row],[QUANT ]]</f>
        <v>0</v>
      </c>
      <c r="J38" s="236">
        <f>Mat_Consum_Nun_e_Gomes[[#This Row],[VALOR MÊS]]*12</f>
        <v>0</v>
      </c>
      <c r="L38" s="12"/>
      <c r="N38" s="15"/>
    </row>
    <row r="39" spans="1:14" s="8" customFormat="1" ht="26.25" customHeight="1" x14ac:dyDescent="0.25">
      <c r="A39" s="8" t="s">
        <v>106</v>
      </c>
      <c r="C39" s="9" t="s">
        <v>1130</v>
      </c>
      <c r="D39" s="9" t="s">
        <v>600</v>
      </c>
      <c r="E39" s="9" t="s">
        <v>601</v>
      </c>
      <c r="F39" s="9" t="s">
        <v>553</v>
      </c>
      <c r="G39" s="8">
        <v>10</v>
      </c>
      <c r="H39" s="171"/>
      <c r="I39" s="15">
        <f>Mat_Consum_Nun_e_Gomes[[#This Row],[VALOR UNID]]*Mat_Consum_Dados[[#This Row],[QUANT ]]</f>
        <v>0</v>
      </c>
      <c r="J39" s="15">
        <f>Mat_Consum_Nun_e_Gomes[[#This Row],[VALOR MÊS]]*12</f>
        <v>0</v>
      </c>
      <c r="L39" s="12"/>
      <c r="N39" s="15"/>
    </row>
    <row r="40" spans="1:14" s="8" customFormat="1" ht="26.25" customHeight="1" x14ac:dyDescent="0.25">
      <c r="A40" s="8" t="s">
        <v>108</v>
      </c>
      <c r="C40" s="9" t="s">
        <v>1130</v>
      </c>
      <c r="D40" s="9" t="s">
        <v>602</v>
      </c>
      <c r="E40" s="9" t="s">
        <v>19</v>
      </c>
      <c r="F40" s="9" t="s">
        <v>553</v>
      </c>
      <c r="G40" s="8">
        <v>27</v>
      </c>
      <c r="H40" s="237"/>
      <c r="I40" s="236">
        <f>Mat_Consum_Nun_e_Gomes[[#This Row],[VALOR UNID]]*Mat_Consum_Dados[[#This Row],[QUANT ]]</f>
        <v>0</v>
      </c>
      <c r="J40" s="236">
        <f>Mat_Consum_Nun_e_Gomes[[#This Row],[VALOR MÊS]]*12</f>
        <v>0</v>
      </c>
      <c r="L40" s="12"/>
      <c r="N40" s="15"/>
    </row>
    <row r="41" spans="1:14" s="8" customFormat="1" ht="26.25" customHeight="1" x14ac:dyDescent="0.25">
      <c r="A41" s="8" t="s">
        <v>110</v>
      </c>
      <c r="B41" s="8" t="s">
        <v>1319</v>
      </c>
      <c r="C41" s="9" t="s">
        <v>1130</v>
      </c>
      <c r="D41" s="9" t="s">
        <v>603</v>
      </c>
      <c r="E41" s="9" t="s">
        <v>604</v>
      </c>
      <c r="F41" s="9" t="s">
        <v>605</v>
      </c>
      <c r="G41" s="8">
        <v>18</v>
      </c>
      <c r="H41" s="171"/>
      <c r="I41" s="15">
        <f>Mat_Consum_Nun_e_Gomes[[#This Row],[VALOR UNID]]*Mat_Consum_Dados[[#This Row],[QUANT ]]</f>
        <v>0</v>
      </c>
      <c r="J41" s="15">
        <f>Mat_Consum_Nun_e_Gomes[[#This Row],[VALOR MÊS]]*12</f>
        <v>0</v>
      </c>
      <c r="L41" s="12"/>
      <c r="N41" s="15"/>
    </row>
    <row r="42" spans="1:14" s="8" customFormat="1" ht="26.25" customHeight="1" x14ac:dyDescent="0.25">
      <c r="A42" s="8" t="s">
        <v>113</v>
      </c>
      <c r="B42" s="8" t="s">
        <v>1317</v>
      </c>
      <c r="C42" s="9" t="s">
        <v>1130</v>
      </c>
      <c r="D42" s="9" t="s">
        <v>606</v>
      </c>
      <c r="E42" s="9" t="s">
        <v>19</v>
      </c>
      <c r="F42" s="9" t="s">
        <v>607</v>
      </c>
      <c r="G42" s="8">
        <v>15</v>
      </c>
      <c r="H42" s="237"/>
      <c r="I42" s="236">
        <f>Mat_Consum_Nun_e_Gomes[[#This Row],[VALOR UNID]]/6*(Mat_Consum_Dados[[#This Row],[QUANT ]])</f>
        <v>0</v>
      </c>
      <c r="J42" s="236">
        <f>Mat_Consum_Nun_e_Gomes[[#This Row],[VALOR MÊS]]*12</f>
        <v>0</v>
      </c>
      <c r="L42" s="12"/>
      <c r="N42" s="15"/>
    </row>
    <row r="43" spans="1:14" s="8" customFormat="1" ht="33.75" customHeight="1" x14ac:dyDescent="0.25">
      <c r="A43" s="8" t="s">
        <v>114</v>
      </c>
      <c r="C43" s="9" t="s">
        <v>1130</v>
      </c>
      <c r="D43" s="9" t="s">
        <v>608</v>
      </c>
      <c r="E43" s="9" t="s">
        <v>609</v>
      </c>
      <c r="F43" s="9" t="s">
        <v>553</v>
      </c>
      <c r="G43" s="8">
        <v>15</v>
      </c>
      <c r="H43" s="171"/>
      <c r="I43" s="15">
        <f>Mat_Consum_Nun_e_Gomes[[#This Row],[VALOR UNID]]/6*(Mat_Consum_Dados[[#This Row],[QUANT ]])</f>
        <v>0</v>
      </c>
      <c r="J43" s="15">
        <f>Mat_Consum_Nun_e_Gomes[[#This Row],[VALOR MÊS]]*12</f>
        <v>0</v>
      </c>
      <c r="L43" s="12"/>
      <c r="N43" s="15"/>
    </row>
    <row r="44" spans="1:14" s="8" customFormat="1" ht="26.25" customHeight="1" x14ac:dyDescent="0.25">
      <c r="A44" s="8" t="s">
        <v>117</v>
      </c>
      <c r="B44" s="8" t="s">
        <v>1319</v>
      </c>
      <c r="C44" s="9" t="s">
        <v>1130</v>
      </c>
      <c r="D44" s="9" t="s">
        <v>610</v>
      </c>
      <c r="E44" s="9" t="s">
        <v>19</v>
      </c>
      <c r="F44" s="9" t="s">
        <v>611</v>
      </c>
      <c r="G44" s="8">
        <v>15</v>
      </c>
      <c r="H44" s="237"/>
      <c r="I44" s="236">
        <f>Mat_Consum_Nun_e_Gomes[[#This Row],[VALOR UNID]]/6*(Mat_Consum_Dados[[#This Row],[QUANT ]])</f>
        <v>0</v>
      </c>
      <c r="J44" s="236">
        <f>Mat_Consum_Nun_e_Gomes[[#This Row],[VALOR MÊS]]*12</f>
        <v>0</v>
      </c>
      <c r="L44" s="12"/>
      <c r="N44" s="15"/>
    </row>
    <row r="45" spans="1:14" s="8" customFormat="1" ht="26.25" customHeight="1" x14ac:dyDescent="0.25">
      <c r="A45" s="8" t="s">
        <v>119</v>
      </c>
      <c r="B45" s="8" t="s">
        <v>1319</v>
      </c>
      <c r="C45" s="9" t="s">
        <v>1130</v>
      </c>
      <c r="D45" s="9" t="s">
        <v>612</v>
      </c>
      <c r="E45" s="9" t="s">
        <v>1059</v>
      </c>
      <c r="F45" s="9" t="s">
        <v>553</v>
      </c>
      <c r="G45" s="8">
        <v>275</v>
      </c>
      <c r="H45" s="171"/>
      <c r="I45" s="15">
        <f>Mat_Consum_Nun_e_Gomes[[#This Row],[VALOR UNID]]*Mat_Consum_Dados[[#This Row],[QUANT ]]</f>
        <v>0</v>
      </c>
      <c r="J45" s="15">
        <f>Mat_Consum_Nun_e_Gomes[[#This Row],[VALOR MÊS]]*12</f>
        <v>0</v>
      </c>
      <c r="L45" s="12"/>
      <c r="N45" s="15"/>
    </row>
    <row r="46" spans="1:14" s="8" customFormat="1" ht="26.25" customHeight="1" x14ac:dyDescent="0.25">
      <c r="A46" s="8" t="s">
        <v>123</v>
      </c>
      <c r="B46" s="8" t="s">
        <v>1319</v>
      </c>
      <c r="C46" s="9" t="s">
        <v>1130</v>
      </c>
      <c r="D46" s="9" t="s">
        <v>613</v>
      </c>
      <c r="E46" s="9" t="s">
        <v>614</v>
      </c>
      <c r="F46" s="9" t="s">
        <v>553</v>
      </c>
      <c r="G46" s="8">
        <v>3</v>
      </c>
      <c r="H46" s="237"/>
      <c r="I46" s="236">
        <f>Mat_Consum_Nun_e_Gomes[[#This Row],[VALOR UNID]]/6*(Mat_Consum_Dados[[#This Row],[QUANT ]])</f>
        <v>0</v>
      </c>
      <c r="J46" s="236">
        <f>Mat_Consum_Nun_e_Gomes[[#This Row],[VALOR MÊS]]*12</f>
        <v>0</v>
      </c>
      <c r="L46" s="12"/>
      <c r="N46" s="15"/>
    </row>
    <row r="47" spans="1:14" s="8" customFormat="1" ht="26.25" customHeight="1" x14ac:dyDescent="0.25">
      <c r="A47" s="8" t="s">
        <v>126</v>
      </c>
      <c r="C47" s="9" t="s">
        <v>1130</v>
      </c>
      <c r="D47" s="9" t="s">
        <v>615</v>
      </c>
      <c r="E47" s="9" t="s">
        <v>616</v>
      </c>
      <c r="F47" s="9" t="s">
        <v>553</v>
      </c>
      <c r="G47" s="8">
        <v>10</v>
      </c>
      <c r="H47" s="171"/>
      <c r="I47" s="15">
        <f>Mat_Consum_Nun_e_Gomes[[#This Row],[VALOR UNID]]/6*(Mat_Consum_Dados[[#This Row],[QUANT ]])</f>
        <v>0</v>
      </c>
      <c r="J47" s="15">
        <f>Mat_Consum_Nun_e_Gomes[[#This Row],[VALOR MÊS]]*12</f>
        <v>0</v>
      </c>
      <c r="L47" s="12"/>
      <c r="N47" s="15"/>
    </row>
    <row r="48" spans="1:14" s="8" customFormat="1" ht="26.25" customHeight="1" x14ac:dyDescent="0.25">
      <c r="A48" s="8" t="s">
        <v>128</v>
      </c>
      <c r="B48" s="8" t="s">
        <v>1319</v>
      </c>
      <c r="C48" s="9" t="s">
        <v>1130</v>
      </c>
      <c r="D48" s="9" t="s">
        <v>617</v>
      </c>
      <c r="E48" s="9" t="s">
        <v>19</v>
      </c>
      <c r="F48" s="9" t="s">
        <v>553</v>
      </c>
      <c r="G48" s="8">
        <v>5</v>
      </c>
      <c r="H48" s="237"/>
      <c r="I48" s="236">
        <f>Mat_Consum_Nun_e_Gomes[[#This Row],[VALOR UNID]]*Mat_Consum_Dados[[#This Row],[QUANT ]]</f>
        <v>0</v>
      </c>
      <c r="J48" s="236">
        <f>Mat_Consum_Nun_e_Gomes[[#This Row],[VALOR MÊS]]*12</f>
        <v>0</v>
      </c>
      <c r="L48" s="12"/>
      <c r="N48" s="15"/>
    </row>
    <row r="49" spans="1:14" s="8" customFormat="1" ht="26.25" customHeight="1" x14ac:dyDescent="0.25">
      <c r="A49" s="8" t="s">
        <v>131</v>
      </c>
      <c r="C49" s="9" t="s">
        <v>1130</v>
      </c>
      <c r="D49" s="9" t="s">
        <v>618</v>
      </c>
      <c r="E49" s="9" t="s">
        <v>19</v>
      </c>
      <c r="F49" s="9" t="s">
        <v>553</v>
      </c>
      <c r="G49" s="8">
        <v>3</v>
      </c>
      <c r="H49" s="171"/>
      <c r="I49" s="15">
        <f>Mat_Consum_Nun_e_Gomes[[#This Row],[VALOR UNID]]/6*(Mat_Consum_Dados[[#This Row],[QUANT ]])</f>
        <v>0</v>
      </c>
      <c r="J49" s="15">
        <f>Mat_Consum_Nun_e_Gomes[[#This Row],[VALOR MÊS]]*12</f>
        <v>0</v>
      </c>
      <c r="L49" s="12"/>
      <c r="N49" s="15"/>
    </row>
    <row r="50" spans="1:14" s="8" customFormat="1" ht="26.25" customHeight="1" x14ac:dyDescent="0.25">
      <c r="A50" s="8" t="s">
        <v>133</v>
      </c>
      <c r="B50" s="8" t="s">
        <v>1319</v>
      </c>
      <c r="C50" s="9" t="s">
        <v>1130</v>
      </c>
      <c r="D50" s="9" t="s">
        <v>619</v>
      </c>
      <c r="E50" s="9" t="s">
        <v>620</v>
      </c>
      <c r="F50" s="9" t="s">
        <v>564</v>
      </c>
      <c r="G50" s="8">
        <v>90</v>
      </c>
      <c r="H50" s="237"/>
      <c r="I50" s="236">
        <f>Mat_Consum_Nun_e_Gomes[[#This Row],[VALOR UNID]]/6*(Mat_Consum_Dados[[#This Row],[QUANT ]])</f>
        <v>0</v>
      </c>
      <c r="J50" s="236">
        <f>Mat_Consum_Nun_e_Gomes[[#This Row],[VALOR MÊS]]*12</f>
        <v>0</v>
      </c>
      <c r="L50" s="12"/>
      <c r="N50" s="15"/>
    </row>
    <row r="51" spans="1:14" s="8" customFormat="1" ht="26.25" customHeight="1" x14ac:dyDescent="0.25">
      <c r="A51" s="8" t="s">
        <v>135</v>
      </c>
      <c r="B51" s="8" t="s">
        <v>1319</v>
      </c>
      <c r="C51" s="9" t="s">
        <v>1130</v>
      </c>
      <c r="D51" s="9" t="s">
        <v>621</v>
      </c>
      <c r="E51" s="9" t="s">
        <v>622</v>
      </c>
      <c r="F51" s="9" t="s">
        <v>553</v>
      </c>
      <c r="G51" s="8">
        <v>16</v>
      </c>
      <c r="H51" s="171"/>
      <c r="I51" s="15">
        <f>Mat_Consum_Nun_e_Gomes[[#This Row],[VALOR UNID]]*Mat_Consum_Dados[[#This Row],[QUANT ]]</f>
        <v>0</v>
      </c>
      <c r="J51" s="15">
        <f>Mat_Consum_Nun_e_Gomes[[#This Row],[VALOR MÊS]]*12</f>
        <v>0</v>
      </c>
      <c r="L51" s="12"/>
      <c r="N51" s="15"/>
    </row>
    <row r="52" spans="1:14" s="8" customFormat="1" ht="26.25" customHeight="1" x14ac:dyDescent="0.25">
      <c r="A52" s="8" t="s">
        <v>138</v>
      </c>
      <c r="B52" s="8" t="s">
        <v>1319</v>
      </c>
      <c r="C52" s="9" t="s">
        <v>1130</v>
      </c>
      <c r="D52" s="9" t="s">
        <v>623</v>
      </c>
      <c r="E52" s="9" t="s">
        <v>624</v>
      </c>
      <c r="F52" s="9" t="s">
        <v>553</v>
      </c>
      <c r="G52" s="8">
        <v>16</v>
      </c>
      <c r="H52" s="237"/>
      <c r="I52" s="236">
        <f>Mat_Consum_Nun_e_Gomes[[#This Row],[VALOR UNID]]*Mat_Consum_Dados[[#This Row],[QUANT ]]</f>
        <v>0</v>
      </c>
      <c r="J52" s="236">
        <f>Mat_Consum_Nun_e_Gomes[[#This Row],[VALOR MÊS]]*12</f>
        <v>0</v>
      </c>
      <c r="L52" s="12"/>
      <c r="N52" s="15"/>
    </row>
    <row r="53" spans="1:14" s="8" customFormat="1" ht="26.25" customHeight="1" x14ac:dyDescent="0.25">
      <c r="A53" s="8" t="s">
        <v>141</v>
      </c>
      <c r="B53" s="8" t="s">
        <v>1319</v>
      </c>
      <c r="C53" s="9" t="s">
        <v>1130</v>
      </c>
      <c r="D53" s="9" t="s">
        <v>623</v>
      </c>
      <c r="E53" s="9" t="s">
        <v>625</v>
      </c>
      <c r="F53" s="9" t="s">
        <v>553</v>
      </c>
      <c r="G53" s="8">
        <v>35</v>
      </c>
      <c r="H53" s="171"/>
      <c r="I53" s="15">
        <f>Mat_Consum_Nun_e_Gomes[[#This Row],[VALOR UNID]]*Mat_Consum_Dados[[#This Row],[QUANT ]]</f>
        <v>0</v>
      </c>
      <c r="J53" s="15">
        <f>Mat_Consum_Nun_e_Gomes[[#This Row],[VALOR MÊS]]*12</f>
        <v>0</v>
      </c>
      <c r="L53" s="12"/>
      <c r="N53" s="15"/>
    </row>
    <row r="54" spans="1:14" s="8" customFormat="1" ht="26.25" customHeight="1" x14ac:dyDescent="0.25">
      <c r="A54" s="8" t="s">
        <v>143</v>
      </c>
      <c r="B54" s="8" t="s">
        <v>1318</v>
      </c>
      <c r="C54" s="9" t="s">
        <v>1130</v>
      </c>
      <c r="D54" s="9" t="s">
        <v>626</v>
      </c>
      <c r="E54" s="9" t="s">
        <v>19</v>
      </c>
      <c r="F54" s="9" t="s">
        <v>627</v>
      </c>
      <c r="G54" s="8">
        <v>5</v>
      </c>
      <c r="H54" s="237"/>
      <c r="I54" s="236">
        <f>Mat_Consum_Nun_e_Gomes[[#This Row],[VALOR UNID]]*Mat_Consum_Dados[[#This Row],[QUANT ]]</f>
        <v>0</v>
      </c>
      <c r="J54" s="236">
        <f>Mat_Consum_Nun_e_Gomes[[#This Row],[VALOR MÊS]]*12</f>
        <v>0</v>
      </c>
      <c r="L54" s="12"/>
      <c r="N54" s="15"/>
    </row>
    <row r="55" spans="1:14" s="8" customFormat="1" ht="26.25" customHeight="1" x14ac:dyDescent="0.25">
      <c r="A55" s="8" t="s">
        <v>160</v>
      </c>
      <c r="B55" s="8" t="s">
        <v>1319</v>
      </c>
      <c r="C55" s="9" t="s">
        <v>1130</v>
      </c>
      <c r="D55" s="9" t="s">
        <v>628</v>
      </c>
      <c r="E55" s="9" t="s">
        <v>629</v>
      </c>
      <c r="F55" s="9" t="s">
        <v>630</v>
      </c>
      <c r="G55" s="8">
        <v>15</v>
      </c>
      <c r="H55" s="171"/>
      <c r="I55" s="15">
        <f>Mat_Consum_Nun_e_Gomes[[#This Row],[VALOR UNID]]*Mat_Consum_Dados[[#This Row],[QUANT ]]</f>
        <v>0</v>
      </c>
      <c r="J55" s="15">
        <f>Mat_Consum_Nun_e_Gomes[[#This Row],[VALOR MÊS]]*12</f>
        <v>0</v>
      </c>
      <c r="L55" s="12"/>
      <c r="N55" s="15"/>
    </row>
    <row r="56" spans="1:14" s="8" customFormat="1" ht="26.25" customHeight="1" x14ac:dyDescent="0.25">
      <c r="A56" s="8" t="s">
        <v>164</v>
      </c>
      <c r="B56" s="8" t="s">
        <v>1319</v>
      </c>
      <c r="C56" s="9" t="s">
        <v>1130</v>
      </c>
      <c r="D56" s="9" t="s">
        <v>628</v>
      </c>
      <c r="E56" s="9" t="s">
        <v>631</v>
      </c>
      <c r="F56" s="9" t="s">
        <v>630</v>
      </c>
      <c r="G56" s="8">
        <v>15</v>
      </c>
      <c r="H56" s="237"/>
      <c r="I56" s="236">
        <f>Mat_Consum_Nun_e_Gomes[[#This Row],[VALOR UNID]]*Mat_Consum_Dados[[#This Row],[QUANT ]]</f>
        <v>0</v>
      </c>
      <c r="J56" s="236">
        <f>Mat_Consum_Nun_e_Gomes[[#This Row],[VALOR MÊS]]*12</f>
        <v>0</v>
      </c>
      <c r="L56" s="12"/>
      <c r="N56" s="15"/>
    </row>
    <row r="57" spans="1:14" s="8" customFormat="1" ht="26.25" customHeight="1" x14ac:dyDescent="0.25">
      <c r="A57" s="8" t="s">
        <v>166</v>
      </c>
      <c r="B57" s="8" t="s">
        <v>1319</v>
      </c>
      <c r="C57" s="9" t="s">
        <v>1130</v>
      </c>
      <c r="D57" s="9" t="s">
        <v>632</v>
      </c>
      <c r="E57" s="9" t="s">
        <v>633</v>
      </c>
      <c r="F57" s="9" t="s">
        <v>630</v>
      </c>
      <c r="G57" s="8">
        <v>15</v>
      </c>
      <c r="H57" s="171"/>
      <c r="I57" s="15">
        <f>Mat_Consum_Nun_e_Gomes[[#This Row],[VALOR UNID]]*Mat_Consum_Dados[[#This Row],[QUANT ]]</f>
        <v>0</v>
      </c>
      <c r="J57" s="15">
        <f>Mat_Consum_Nun_e_Gomes[[#This Row],[VALOR MÊS]]*12</f>
        <v>0</v>
      </c>
      <c r="L57" s="12"/>
      <c r="N57" s="15"/>
    </row>
    <row r="58" spans="1:14" s="8" customFormat="1" ht="26.25" customHeight="1" x14ac:dyDescent="0.25">
      <c r="A58" s="8" t="s">
        <v>168</v>
      </c>
      <c r="B58" s="8" t="s">
        <v>1319</v>
      </c>
      <c r="C58" s="9" t="s">
        <v>1130</v>
      </c>
      <c r="D58" s="9" t="s">
        <v>634</v>
      </c>
      <c r="E58" s="9" t="s">
        <v>635</v>
      </c>
      <c r="F58" s="9" t="s">
        <v>630</v>
      </c>
      <c r="G58" s="8">
        <v>15</v>
      </c>
      <c r="H58" s="237"/>
      <c r="I58" s="236">
        <f>Mat_Consum_Nun_e_Gomes[[#This Row],[VALOR UNID]]*Mat_Consum_Dados[[#This Row],[QUANT ]]</f>
        <v>0</v>
      </c>
      <c r="J58" s="236">
        <f>Mat_Consum_Nun_e_Gomes[[#This Row],[VALOR MÊS]]*12</f>
        <v>0</v>
      </c>
      <c r="L58" s="12"/>
      <c r="N58" s="15"/>
    </row>
    <row r="59" spans="1:14" s="8" customFormat="1" ht="26.25" customHeight="1" x14ac:dyDescent="0.25">
      <c r="A59" s="8" t="s">
        <v>170</v>
      </c>
      <c r="B59" s="8" t="s">
        <v>1319</v>
      </c>
      <c r="C59" s="9" t="s">
        <v>1130</v>
      </c>
      <c r="D59" s="9" t="s">
        <v>634</v>
      </c>
      <c r="E59" s="9" t="s">
        <v>636</v>
      </c>
      <c r="F59" s="9" t="s">
        <v>630</v>
      </c>
      <c r="G59" s="8">
        <v>15</v>
      </c>
      <c r="H59" s="171"/>
      <c r="I59" s="15">
        <f>Mat_Consum_Nun_e_Gomes[[#This Row],[VALOR UNID]]*Mat_Consum_Dados[[#This Row],[QUANT ]]</f>
        <v>0</v>
      </c>
      <c r="J59" s="15">
        <f>Mat_Consum_Nun_e_Gomes[[#This Row],[VALOR MÊS]]*12</f>
        <v>0</v>
      </c>
      <c r="L59" s="12"/>
      <c r="N59" s="15"/>
    </row>
    <row r="60" spans="1:14" s="8" customFormat="1" ht="26.25" customHeight="1" x14ac:dyDescent="0.25">
      <c r="A60" s="8" t="s">
        <v>174</v>
      </c>
      <c r="B60" s="8" t="s">
        <v>1319</v>
      </c>
      <c r="C60" s="9" t="s">
        <v>1130</v>
      </c>
      <c r="D60" s="9" t="s">
        <v>634</v>
      </c>
      <c r="E60" s="9" t="s">
        <v>637</v>
      </c>
      <c r="F60" s="9" t="s">
        <v>630</v>
      </c>
      <c r="G60" s="8">
        <v>15</v>
      </c>
      <c r="H60" s="237"/>
      <c r="I60" s="236">
        <f>Mat_Consum_Nun_e_Gomes[[#This Row],[VALOR UNID]]*Mat_Consum_Dados[[#This Row],[QUANT ]]</f>
        <v>0</v>
      </c>
      <c r="J60" s="236">
        <f>Mat_Consum_Nun_e_Gomes[[#This Row],[VALOR MÊS]]*12</f>
        <v>0</v>
      </c>
      <c r="L60" s="12"/>
      <c r="N60" s="15"/>
    </row>
    <row r="61" spans="1:14" s="8" customFormat="1" ht="26.25" customHeight="1" x14ac:dyDescent="0.25">
      <c r="A61" s="8" t="s">
        <v>176</v>
      </c>
      <c r="C61" s="9" t="s">
        <v>1130</v>
      </c>
      <c r="D61" s="9" t="s">
        <v>638</v>
      </c>
      <c r="E61" s="9" t="s">
        <v>19</v>
      </c>
      <c r="F61" s="9" t="s">
        <v>553</v>
      </c>
      <c r="G61" s="8">
        <v>15</v>
      </c>
      <c r="H61" s="171"/>
      <c r="I61" s="15">
        <f>Mat_Consum_Nun_e_Gomes[[#This Row],[VALOR UNID]]*Mat_Consum_Dados[[#This Row],[QUANT ]]</f>
        <v>0</v>
      </c>
      <c r="J61" s="15">
        <f>Mat_Consum_Nun_e_Gomes[[#This Row],[VALOR MÊS]]*12</f>
        <v>0</v>
      </c>
      <c r="L61" s="12"/>
      <c r="N61" s="15"/>
    </row>
    <row r="62" spans="1:14" s="8" customFormat="1" ht="26.25" customHeight="1" x14ac:dyDescent="0.25">
      <c r="A62" s="8" t="s">
        <v>177</v>
      </c>
      <c r="B62" s="8" t="s">
        <v>1319</v>
      </c>
      <c r="C62" s="9" t="s">
        <v>1130</v>
      </c>
      <c r="D62" s="9" t="s">
        <v>639</v>
      </c>
      <c r="E62" s="9" t="s">
        <v>640</v>
      </c>
      <c r="F62" s="9" t="s">
        <v>630</v>
      </c>
      <c r="G62" s="8">
        <v>15</v>
      </c>
      <c r="H62" s="237"/>
      <c r="I62" s="236">
        <f>Mat_Consum_Nun_e_Gomes[[#This Row],[VALOR UNID]]*Mat_Consum_Dados[[#This Row],[QUANT ]]</f>
        <v>0</v>
      </c>
      <c r="J62" s="236">
        <f>Mat_Consum_Nun_e_Gomes[[#This Row],[VALOR MÊS]]*12</f>
        <v>0</v>
      </c>
      <c r="L62" s="12"/>
      <c r="N62" s="15"/>
    </row>
    <row r="63" spans="1:14" s="8" customFormat="1" ht="26.25" customHeight="1" x14ac:dyDescent="0.25">
      <c r="A63" s="8" t="s">
        <v>179</v>
      </c>
      <c r="B63" s="8" t="s">
        <v>1319</v>
      </c>
      <c r="C63" s="9" t="s">
        <v>1130</v>
      </c>
      <c r="D63" s="9" t="s">
        <v>639</v>
      </c>
      <c r="E63" s="9" t="s">
        <v>641</v>
      </c>
      <c r="F63" s="9" t="s">
        <v>630</v>
      </c>
      <c r="G63" s="8">
        <v>15</v>
      </c>
      <c r="H63" s="171"/>
      <c r="I63" s="15">
        <f>Mat_Consum_Nun_e_Gomes[[#This Row],[VALOR UNID]]*Mat_Consum_Dados[[#This Row],[QUANT ]]</f>
        <v>0</v>
      </c>
      <c r="J63" s="15">
        <f>Mat_Consum_Nun_e_Gomes[[#This Row],[VALOR MÊS]]*12</f>
        <v>0</v>
      </c>
      <c r="L63" s="12"/>
      <c r="N63" s="15"/>
    </row>
    <row r="64" spans="1:14" s="8" customFormat="1" ht="26.25" customHeight="1" x14ac:dyDescent="0.25">
      <c r="A64" s="8" t="s">
        <v>182</v>
      </c>
      <c r="B64" s="8" t="s">
        <v>1319</v>
      </c>
      <c r="C64" s="9" t="s">
        <v>1130</v>
      </c>
      <c r="D64" s="9" t="s">
        <v>639</v>
      </c>
      <c r="E64" s="9" t="s">
        <v>642</v>
      </c>
      <c r="F64" s="9" t="s">
        <v>630</v>
      </c>
      <c r="G64" s="8">
        <v>15</v>
      </c>
      <c r="H64" s="237"/>
      <c r="I64" s="236">
        <f>Mat_Consum_Nun_e_Gomes[[#This Row],[VALOR UNID]]*Mat_Consum_Dados[[#This Row],[QUANT ]]</f>
        <v>0</v>
      </c>
      <c r="J64" s="236">
        <f>Mat_Consum_Nun_e_Gomes[[#This Row],[VALOR MÊS]]*12</f>
        <v>0</v>
      </c>
      <c r="L64" s="12"/>
      <c r="N64" s="15"/>
    </row>
    <row r="65" spans="1:14" s="8" customFormat="1" ht="26.25" customHeight="1" x14ac:dyDescent="0.25">
      <c r="A65" s="8" t="s">
        <v>186</v>
      </c>
      <c r="B65" s="8" t="s">
        <v>1319</v>
      </c>
      <c r="C65" s="9" t="s">
        <v>1130</v>
      </c>
      <c r="D65" s="9" t="s">
        <v>643</v>
      </c>
      <c r="E65" s="9" t="s">
        <v>543</v>
      </c>
      <c r="F65" s="9" t="s">
        <v>564</v>
      </c>
      <c r="G65" s="8">
        <v>15</v>
      </c>
      <c r="H65" s="171"/>
      <c r="I65" s="15">
        <f>Mat_Consum_Nun_e_Gomes[[#This Row],[VALOR UNID]]*Mat_Consum_Dados[[#This Row],[QUANT ]]</f>
        <v>0</v>
      </c>
      <c r="J65" s="15">
        <f>Mat_Consum_Nun_e_Gomes[[#This Row],[VALOR MÊS]]*12</f>
        <v>0</v>
      </c>
      <c r="L65" s="12"/>
      <c r="N65" s="15"/>
    </row>
    <row r="66" spans="1:14" s="8" customFormat="1" ht="26.25" customHeight="1" x14ac:dyDescent="0.25">
      <c r="A66" s="8" t="s">
        <v>189</v>
      </c>
      <c r="C66" s="9" t="s">
        <v>1130</v>
      </c>
      <c r="D66" s="9" t="s">
        <v>644</v>
      </c>
      <c r="E66" s="9" t="s">
        <v>543</v>
      </c>
      <c r="F66" s="9" t="s">
        <v>645</v>
      </c>
      <c r="G66" s="8">
        <v>15</v>
      </c>
      <c r="H66" s="237"/>
      <c r="I66" s="236">
        <f>Mat_Consum_Nun_e_Gomes[[#This Row],[VALOR UNID]]*Mat_Consum_Dados[[#This Row],[QUANT ]]</f>
        <v>0</v>
      </c>
      <c r="J66" s="236">
        <f>Mat_Consum_Nun_e_Gomes[[#This Row],[VALOR MÊS]]*12</f>
        <v>0</v>
      </c>
      <c r="L66" s="12"/>
      <c r="N66" s="15"/>
    </row>
    <row r="67" spans="1:14" s="8" customFormat="1" ht="26.25" customHeight="1" x14ac:dyDescent="0.25">
      <c r="A67" s="8" t="s">
        <v>192</v>
      </c>
      <c r="B67" s="8" t="s">
        <v>1319</v>
      </c>
      <c r="C67" s="9" t="s">
        <v>1130</v>
      </c>
      <c r="D67" s="9" t="s">
        <v>646</v>
      </c>
      <c r="E67" s="9" t="s">
        <v>19</v>
      </c>
      <c r="F67" s="9" t="s">
        <v>647</v>
      </c>
      <c r="G67" s="8">
        <v>15</v>
      </c>
      <c r="H67" s="171"/>
      <c r="I67" s="15">
        <f>Mat_Consum_Nun_e_Gomes[[#This Row],[VALOR UNID]]*Mat_Consum_Dados[[#This Row],[QUANT ]]</f>
        <v>0</v>
      </c>
      <c r="J67" s="15">
        <f>Mat_Consum_Nun_e_Gomes[[#This Row],[VALOR MÊS]]*12</f>
        <v>0</v>
      </c>
      <c r="L67" s="12"/>
      <c r="N67" s="15"/>
    </row>
    <row r="68" spans="1:14" s="8" customFormat="1" ht="26.25" customHeight="1" x14ac:dyDescent="0.25">
      <c r="A68" s="8" t="s">
        <v>196</v>
      </c>
      <c r="C68" s="9" t="s">
        <v>1130</v>
      </c>
      <c r="D68" s="9" t="s">
        <v>648</v>
      </c>
      <c r="E68" s="9" t="s">
        <v>19</v>
      </c>
      <c r="F68" s="9" t="s">
        <v>553</v>
      </c>
      <c r="G68" s="8">
        <v>15</v>
      </c>
      <c r="H68" s="237"/>
      <c r="I68" s="236">
        <f>Mat_Consum_Nun_e_Gomes[[#This Row],[VALOR UNID]]/6*(Mat_Consum_Dados[[#This Row],[QUANT ]])</f>
        <v>0</v>
      </c>
      <c r="J68" s="236">
        <f>Mat_Consum_Nun_e_Gomes[[#This Row],[VALOR MÊS]]*12</f>
        <v>0</v>
      </c>
      <c r="L68" s="12"/>
      <c r="N68" s="15"/>
    </row>
    <row r="69" spans="1:14" s="8" customFormat="1" ht="26.25" customHeight="1" x14ac:dyDescent="0.25">
      <c r="A69" s="8" t="s">
        <v>200</v>
      </c>
      <c r="B69" s="8" t="s">
        <v>1319</v>
      </c>
      <c r="C69" s="9" t="s">
        <v>1130</v>
      </c>
      <c r="D69" s="9" t="s">
        <v>649</v>
      </c>
      <c r="E69" s="9" t="s">
        <v>650</v>
      </c>
      <c r="F69" s="9" t="s">
        <v>651</v>
      </c>
      <c r="G69" s="8">
        <v>31</v>
      </c>
      <c r="H69" s="171"/>
      <c r="I69" s="15">
        <f>Mat_Consum_Nun_e_Gomes[[#This Row],[VALOR UNID]]*Mat_Consum_Dados[[#This Row],[QUANT ]]</f>
        <v>0</v>
      </c>
      <c r="J69" s="15">
        <f>Mat_Consum_Nun_e_Gomes[[#This Row],[VALOR MÊS]]*12</f>
        <v>0</v>
      </c>
      <c r="L69" s="12"/>
      <c r="N69" s="15"/>
    </row>
    <row r="70" spans="1:14" s="8" customFormat="1" ht="26.25" customHeight="1" x14ac:dyDescent="0.25">
      <c r="A70" s="8" t="s">
        <v>202</v>
      </c>
      <c r="B70" s="8" t="s">
        <v>1319</v>
      </c>
      <c r="C70" s="9" t="s">
        <v>1130</v>
      </c>
      <c r="D70" s="9" t="s">
        <v>649</v>
      </c>
      <c r="E70" s="9" t="s">
        <v>652</v>
      </c>
      <c r="F70" s="9" t="s">
        <v>651</v>
      </c>
      <c r="G70" s="8">
        <v>42</v>
      </c>
      <c r="H70" s="237"/>
      <c r="I70" s="236">
        <f>Mat_Consum_Nun_e_Gomes[[#This Row],[VALOR UNID]]*Mat_Consum_Dados[[#This Row],[QUANT ]]</f>
        <v>0</v>
      </c>
      <c r="J70" s="236">
        <f>Mat_Consum_Nun_e_Gomes[[#This Row],[VALOR MÊS]]*12</f>
        <v>0</v>
      </c>
      <c r="L70" s="12"/>
      <c r="N70" s="15"/>
    </row>
    <row r="71" spans="1:14" s="8" customFormat="1" ht="26.25" customHeight="1" x14ac:dyDescent="0.25">
      <c r="A71" s="8" t="s">
        <v>204</v>
      </c>
      <c r="B71" s="8" t="s">
        <v>1319</v>
      </c>
      <c r="C71" s="9" t="s">
        <v>1130</v>
      </c>
      <c r="D71" s="9" t="s">
        <v>653</v>
      </c>
      <c r="E71" s="9" t="s">
        <v>654</v>
      </c>
      <c r="F71" s="9" t="s">
        <v>553</v>
      </c>
      <c r="G71" s="8">
        <v>500</v>
      </c>
      <c r="H71" s="171"/>
      <c r="I71" s="15">
        <f>Mat_Consum_Nun_e_Gomes[[#This Row],[VALOR UNID]]*Mat_Consum_Dados[[#This Row],[QUANT ]]</f>
        <v>0</v>
      </c>
      <c r="J71" s="15">
        <f>Mat_Consum_Nun_e_Gomes[[#This Row],[VALOR MÊS]]*12</f>
        <v>0</v>
      </c>
      <c r="L71" s="12"/>
      <c r="N71" s="15"/>
    </row>
    <row r="72" spans="1:14" s="8" customFormat="1" ht="26.25" customHeight="1" x14ac:dyDescent="0.25">
      <c r="A72" s="8" t="s">
        <v>206</v>
      </c>
      <c r="B72" s="8" t="s">
        <v>1319</v>
      </c>
      <c r="C72" s="9" t="s">
        <v>1130</v>
      </c>
      <c r="D72" s="9" t="s">
        <v>653</v>
      </c>
      <c r="E72" s="9" t="s">
        <v>650</v>
      </c>
      <c r="F72" s="9" t="s">
        <v>553</v>
      </c>
      <c r="G72" s="8">
        <v>400</v>
      </c>
      <c r="H72" s="237"/>
      <c r="I72" s="236">
        <f>Mat_Consum_Nun_e_Gomes[[#This Row],[VALOR UNID]]*Mat_Consum_Dados[[#This Row],[QUANT ]]</f>
        <v>0</v>
      </c>
      <c r="J72" s="236">
        <f>Mat_Consum_Nun_e_Gomes[[#This Row],[VALOR MÊS]]*12</f>
        <v>0</v>
      </c>
      <c r="L72" s="12"/>
      <c r="N72" s="15"/>
    </row>
    <row r="73" spans="1:14" s="8" customFormat="1" ht="26.25" customHeight="1" x14ac:dyDescent="0.25">
      <c r="A73" s="8" t="s">
        <v>208</v>
      </c>
      <c r="B73" s="8" t="s">
        <v>1319</v>
      </c>
      <c r="C73" s="9" t="s">
        <v>1130</v>
      </c>
      <c r="D73" s="9" t="s">
        <v>653</v>
      </c>
      <c r="E73" s="9" t="s">
        <v>652</v>
      </c>
      <c r="F73" s="9" t="s">
        <v>553</v>
      </c>
      <c r="G73" s="8">
        <v>200</v>
      </c>
      <c r="H73" s="171"/>
      <c r="I73" s="15">
        <f>Mat_Consum_Nun_e_Gomes[[#This Row],[VALOR UNID]]*Mat_Consum_Dados[[#This Row],[QUANT ]]</f>
        <v>0</v>
      </c>
      <c r="J73" s="15">
        <f>Mat_Consum_Nun_e_Gomes[[#This Row],[VALOR MÊS]]*12</f>
        <v>0</v>
      </c>
      <c r="L73" s="12"/>
      <c r="N73" s="15"/>
    </row>
    <row r="74" spans="1:14" s="8" customFormat="1" ht="26.25" customHeight="1" x14ac:dyDescent="0.25">
      <c r="A74" s="8" t="s">
        <v>210</v>
      </c>
      <c r="B74" s="8" t="s">
        <v>1319</v>
      </c>
      <c r="C74" s="9" t="s">
        <v>1130</v>
      </c>
      <c r="D74" s="9" t="s">
        <v>653</v>
      </c>
      <c r="E74" s="9" t="s">
        <v>655</v>
      </c>
      <c r="F74" s="9" t="s">
        <v>553</v>
      </c>
      <c r="G74" s="8">
        <v>100</v>
      </c>
      <c r="H74" s="237"/>
      <c r="I74" s="236">
        <f>Mat_Consum_Nun_e_Gomes[[#This Row],[VALOR UNID]]*Mat_Consum_Dados[[#This Row],[QUANT ]]</f>
        <v>0</v>
      </c>
      <c r="J74" s="236">
        <f>Mat_Consum_Nun_e_Gomes[[#This Row],[VALOR MÊS]]*12</f>
        <v>0</v>
      </c>
      <c r="L74" s="12"/>
      <c r="N74" s="15"/>
    </row>
    <row r="75" spans="1:14" s="8" customFormat="1" ht="26.25" customHeight="1" x14ac:dyDescent="0.25">
      <c r="A75" s="8" t="s">
        <v>212</v>
      </c>
      <c r="B75" s="8" t="s">
        <v>1319</v>
      </c>
      <c r="C75" s="9" t="s">
        <v>1130</v>
      </c>
      <c r="D75" s="9" t="s">
        <v>656</v>
      </c>
      <c r="E75" s="9" t="s">
        <v>19</v>
      </c>
      <c r="F75" s="9" t="s">
        <v>553</v>
      </c>
      <c r="G75" s="8">
        <v>5</v>
      </c>
      <c r="H75" s="171"/>
      <c r="I75" s="15">
        <f>Mat_Consum_Nun_e_Gomes[[#This Row],[VALOR UNID]]*Mat_Consum_Dados[[#This Row],[QUANT ]]</f>
        <v>0</v>
      </c>
      <c r="J75" s="15">
        <f>Mat_Consum_Nun_e_Gomes[[#This Row],[VALOR MÊS]]*12</f>
        <v>0</v>
      </c>
      <c r="L75" s="12"/>
      <c r="N75" s="15"/>
    </row>
    <row r="76" spans="1:14" s="8" customFormat="1" ht="26.25" customHeight="1" x14ac:dyDescent="0.25">
      <c r="A76" s="8" t="s">
        <v>216</v>
      </c>
      <c r="B76" s="8" t="s">
        <v>1319</v>
      </c>
      <c r="C76" s="9" t="s">
        <v>1130</v>
      </c>
      <c r="D76" s="9" t="s">
        <v>657</v>
      </c>
      <c r="E76" s="9" t="s">
        <v>19</v>
      </c>
      <c r="F76" s="9" t="s">
        <v>658</v>
      </c>
      <c r="G76" s="8">
        <v>15</v>
      </c>
      <c r="H76" s="237"/>
      <c r="I76" s="236">
        <f>Mat_Consum_Nun_e_Gomes[[#This Row],[VALOR UNID]]/6*(Mat_Consum_Dados[[#This Row],[QUANT ]])</f>
        <v>0</v>
      </c>
      <c r="J76" s="236">
        <f>Mat_Consum_Nun_e_Gomes[[#This Row],[VALOR MÊS]]*12</f>
        <v>0</v>
      </c>
      <c r="L76" s="12"/>
      <c r="N76" s="15"/>
    </row>
    <row r="77" spans="1:14" s="8" customFormat="1" ht="26.25" customHeight="1" x14ac:dyDescent="0.25">
      <c r="A77" s="8" t="s">
        <v>219</v>
      </c>
      <c r="B77" s="8" t="s">
        <v>1317</v>
      </c>
      <c r="C77" s="9" t="s">
        <v>1130</v>
      </c>
      <c r="D77" s="9" t="s">
        <v>659</v>
      </c>
      <c r="E77" s="9" t="s">
        <v>660</v>
      </c>
      <c r="F77" s="9" t="s">
        <v>661</v>
      </c>
      <c r="G77" s="8">
        <v>15</v>
      </c>
      <c r="H77" s="171"/>
      <c r="I77" s="15">
        <f>Mat_Consum_Nun_e_Gomes[[#This Row],[VALOR UNID]]*Mat_Consum_Dados[[#This Row],[QUANT ]]</f>
        <v>0</v>
      </c>
      <c r="J77" s="15">
        <f>Mat_Consum_Nun_e_Gomes[[#This Row],[VALOR MÊS]]*12</f>
        <v>0</v>
      </c>
      <c r="L77" s="12"/>
      <c r="N77" s="15"/>
    </row>
    <row r="78" spans="1:14" s="8" customFormat="1" ht="26.25" customHeight="1" x14ac:dyDescent="0.25">
      <c r="A78" s="8" t="s">
        <v>220</v>
      </c>
      <c r="B78" s="8" t="s">
        <v>1317</v>
      </c>
      <c r="C78" s="9" t="s">
        <v>1130</v>
      </c>
      <c r="D78" s="9" t="s">
        <v>662</v>
      </c>
      <c r="E78" s="9">
        <v>0.1</v>
      </c>
      <c r="F78" s="9" t="s">
        <v>663</v>
      </c>
      <c r="G78" s="8">
        <v>15</v>
      </c>
      <c r="H78" s="237"/>
      <c r="I78" s="236">
        <f>Mat_Consum_Nun_e_Gomes[[#This Row],[VALOR UNID]]*Mat_Consum_Dados[[#This Row],[QUANT ]]</f>
        <v>0</v>
      </c>
      <c r="J78" s="236">
        <f>Mat_Consum_Nun_e_Gomes[[#This Row],[VALOR MÊS]]*12</f>
        <v>0</v>
      </c>
      <c r="L78" s="12"/>
      <c r="N78" s="15"/>
    </row>
    <row r="79" spans="1:14" s="8" customFormat="1" ht="26.25" customHeight="1" x14ac:dyDescent="0.25">
      <c r="A79" s="8" t="s">
        <v>223</v>
      </c>
      <c r="B79" s="8" t="s">
        <v>1319</v>
      </c>
      <c r="C79" s="9" t="s">
        <v>1130</v>
      </c>
      <c r="D79" s="9" t="s">
        <v>664</v>
      </c>
      <c r="E79" s="9" t="s">
        <v>665</v>
      </c>
      <c r="F79" s="9" t="s">
        <v>40</v>
      </c>
      <c r="G79" s="8">
        <v>60</v>
      </c>
      <c r="H79" s="171"/>
      <c r="I79" s="15">
        <f>Mat_Consum_Nun_e_Gomes[[#This Row],[VALOR UNID]]*Mat_Consum_Dados[[#This Row],[QUANT ]]</f>
        <v>0</v>
      </c>
      <c r="J79" s="15">
        <f>Mat_Consum_Nun_e_Gomes[[#This Row],[VALOR MÊS]]*12</f>
        <v>0</v>
      </c>
      <c r="L79" s="12"/>
      <c r="N79" s="15"/>
    </row>
    <row r="80" spans="1:14" s="8" customFormat="1" ht="26.25" customHeight="1" x14ac:dyDescent="0.25">
      <c r="A80" s="8" t="s">
        <v>226</v>
      </c>
      <c r="B80" s="8" t="s">
        <v>1319</v>
      </c>
      <c r="C80" s="9" t="s">
        <v>1130</v>
      </c>
      <c r="D80" s="9" t="s">
        <v>666</v>
      </c>
      <c r="E80" s="9" t="s">
        <v>667</v>
      </c>
      <c r="F80" s="9" t="s">
        <v>668</v>
      </c>
      <c r="G80" s="8">
        <v>15</v>
      </c>
      <c r="H80" s="237"/>
      <c r="I80" s="236">
        <f>Mat_Consum_Nun_e_Gomes[[#This Row],[VALOR UNID]]*Mat_Consum_Dados[[#This Row],[QUANT ]]</f>
        <v>0</v>
      </c>
      <c r="J80" s="236">
        <f>Mat_Consum_Nun_e_Gomes[[#This Row],[VALOR MÊS]]*12</f>
        <v>0</v>
      </c>
      <c r="L80" s="12"/>
      <c r="N80" s="15"/>
    </row>
    <row r="81" spans="1:14" s="8" customFormat="1" ht="26.25" customHeight="1" x14ac:dyDescent="0.25">
      <c r="A81" s="8" t="s">
        <v>229</v>
      </c>
      <c r="B81" s="8" t="s">
        <v>1319</v>
      </c>
      <c r="C81" s="9" t="s">
        <v>1130</v>
      </c>
      <c r="D81" s="9" t="s">
        <v>666</v>
      </c>
      <c r="E81" s="9" t="s">
        <v>669</v>
      </c>
      <c r="F81" s="9" t="s">
        <v>668</v>
      </c>
      <c r="G81" s="8">
        <v>15</v>
      </c>
      <c r="H81" s="171"/>
      <c r="I81" s="15">
        <f>Mat_Consum_Nun_e_Gomes[[#This Row],[VALOR UNID]]*Mat_Consum_Dados[[#This Row],[QUANT ]]</f>
        <v>0</v>
      </c>
      <c r="J81" s="15">
        <f>Mat_Consum_Nun_e_Gomes[[#This Row],[VALOR MÊS]]*12</f>
        <v>0</v>
      </c>
      <c r="L81" s="12"/>
      <c r="N81" s="15"/>
    </row>
    <row r="82" spans="1:14" s="8" customFormat="1" ht="26.25" customHeight="1" x14ac:dyDescent="0.25">
      <c r="A82" s="8" t="s">
        <v>231</v>
      </c>
      <c r="B82" s="8" t="s">
        <v>1319</v>
      </c>
      <c r="C82" s="9" t="s">
        <v>1130</v>
      </c>
      <c r="D82" s="9" t="s">
        <v>666</v>
      </c>
      <c r="E82" s="9" t="s">
        <v>670</v>
      </c>
      <c r="F82" s="9" t="s">
        <v>668</v>
      </c>
      <c r="G82" s="8">
        <v>15</v>
      </c>
      <c r="H82" s="237"/>
      <c r="I82" s="236">
        <f>Mat_Consum_Nun_e_Gomes[[#This Row],[VALOR UNID]]*Mat_Consum_Dados[[#This Row],[QUANT ]]</f>
        <v>0</v>
      </c>
      <c r="J82" s="236">
        <f>Mat_Consum_Nun_e_Gomes[[#This Row],[VALOR MÊS]]*12</f>
        <v>0</v>
      </c>
      <c r="L82" s="12"/>
      <c r="N82" s="15"/>
    </row>
    <row r="83" spans="1:14" s="8" customFormat="1" ht="26.25" customHeight="1" x14ac:dyDescent="0.25">
      <c r="A83" s="8" t="s">
        <v>234</v>
      </c>
      <c r="B83" s="8" t="s">
        <v>1319</v>
      </c>
      <c r="C83" s="9" t="s">
        <v>1130</v>
      </c>
      <c r="D83" s="9" t="s">
        <v>671</v>
      </c>
      <c r="E83" s="9" t="s">
        <v>19</v>
      </c>
      <c r="F83" s="9" t="s">
        <v>668</v>
      </c>
      <c r="G83" s="8">
        <v>15</v>
      </c>
      <c r="H83" s="171"/>
      <c r="I83" s="15">
        <f>Mat_Consum_Nun_e_Gomes[[#This Row],[VALOR UNID]]/6*(Mat_Consum_Dados[[#This Row],[QUANT ]])</f>
        <v>0</v>
      </c>
      <c r="J83" s="15">
        <f>Mat_Consum_Nun_e_Gomes[[#This Row],[VALOR MÊS]]*12</f>
        <v>0</v>
      </c>
      <c r="L83" s="12"/>
      <c r="N83" s="15"/>
    </row>
    <row r="84" spans="1:14" s="8" customFormat="1" ht="26.25" customHeight="1" x14ac:dyDescent="0.25">
      <c r="A84" s="8" t="s">
        <v>235</v>
      </c>
      <c r="C84" s="9" t="s">
        <v>1130</v>
      </c>
      <c r="D84" s="9" t="s">
        <v>672</v>
      </c>
      <c r="E84" s="9" t="s">
        <v>19</v>
      </c>
      <c r="F84" s="9" t="s">
        <v>673</v>
      </c>
      <c r="G84" s="8">
        <v>4</v>
      </c>
      <c r="H84" s="237"/>
      <c r="I84" s="236">
        <f>Mat_Consum_Nun_e_Gomes[[#This Row],[VALOR UNID]]/6*(Mat_Consum_Dados[[#This Row],[QUANT ]])</f>
        <v>0</v>
      </c>
      <c r="J84" s="236">
        <f>Mat_Consum_Nun_e_Gomes[[#This Row],[VALOR MÊS]]*12</f>
        <v>0</v>
      </c>
      <c r="L84" s="12"/>
      <c r="N84" s="15"/>
    </row>
    <row r="85" spans="1:14" s="8" customFormat="1" ht="26.25" customHeight="1" x14ac:dyDescent="0.25">
      <c r="A85" s="8" t="s">
        <v>239</v>
      </c>
      <c r="B85" s="8" t="s">
        <v>1319</v>
      </c>
      <c r="C85" s="9" t="s">
        <v>1130</v>
      </c>
      <c r="D85" s="9" t="s">
        <v>674</v>
      </c>
      <c r="E85" s="9" t="s">
        <v>19</v>
      </c>
      <c r="F85" s="9" t="s">
        <v>592</v>
      </c>
      <c r="G85" s="8">
        <v>4</v>
      </c>
      <c r="H85" s="171"/>
      <c r="I85" s="15">
        <f>Mat_Consum_Nun_e_Gomes[[#This Row],[VALOR UNID]]/6*(Mat_Consum_Dados[[#This Row],[QUANT ]])</f>
        <v>0</v>
      </c>
      <c r="J85" s="15">
        <f>Mat_Consum_Nun_e_Gomes[[#This Row],[VALOR MÊS]]*12</f>
        <v>0</v>
      </c>
      <c r="L85" s="12"/>
      <c r="N85" s="15"/>
    </row>
    <row r="86" spans="1:14" s="8" customFormat="1" ht="26.25" customHeight="1" x14ac:dyDescent="0.25">
      <c r="A86" s="8" t="s">
        <v>241</v>
      </c>
      <c r="B86" s="8" t="s">
        <v>1319</v>
      </c>
      <c r="C86" s="9" t="s">
        <v>1130</v>
      </c>
      <c r="D86" s="9" t="s">
        <v>675</v>
      </c>
      <c r="E86" s="9" t="s">
        <v>676</v>
      </c>
      <c r="F86" s="9" t="s">
        <v>553</v>
      </c>
      <c r="G86" s="8">
        <v>90</v>
      </c>
      <c r="H86" s="237"/>
      <c r="I86" s="236">
        <f>Mat_Consum_Nun_e_Gomes[[#This Row],[VALOR UNID]]*Mat_Consum_Dados[[#This Row],[QUANT ]]</f>
        <v>0</v>
      </c>
      <c r="J86" s="236">
        <f>Mat_Consum_Nun_e_Gomes[[#This Row],[VALOR MÊS]]*12</f>
        <v>0</v>
      </c>
      <c r="L86" s="12"/>
      <c r="N86" s="15"/>
    </row>
    <row r="87" spans="1:14" s="8" customFormat="1" ht="26.25" customHeight="1" x14ac:dyDescent="0.25">
      <c r="A87" s="8" t="s">
        <v>242</v>
      </c>
      <c r="B87" s="8" t="s">
        <v>1319</v>
      </c>
      <c r="C87" s="9" t="s">
        <v>1130</v>
      </c>
      <c r="D87" s="9" t="s">
        <v>675</v>
      </c>
      <c r="E87" s="9" t="s">
        <v>677</v>
      </c>
      <c r="F87" s="9" t="s">
        <v>553</v>
      </c>
      <c r="G87" s="8">
        <v>90</v>
      </c>
      <c r="H87" s="171"/>
      <c r="I87" s="15">
        <f>Mat_Consum_Nun_e_Gomes[[#This Row],[VALOR UNID]]*Mat_Consum_Dados[[#This Row],[QUANT ]]</f>
        <v>0</v>
      </c>
      <c r="J87" s="15">
        <f>Mat_Consum_Nun_e_Gomes[[#This Row],[VALOR MÊS]]*12</f>
        <v>0</v>
      </c>
      <c r="L87" s="12"/>
      <c r="N87" s="15"/>
    </row>
    <row r="88" spans="1:14" s="8" customFormat="1" ht="26.25" customHeight="1" x14ac:dyDescent="0.25">
      <c r="A88" s="8" t="s">
        <v>244</v>
      </c>
      <c r="B88" s="8" t="s">
        <v>1319</v>
      </c>
      <c r="C88" s="9" t="s">
        <v>1130</v>
      </c>
      <c r="D88" s="9" t="s">
        <v>675</v>
      </c>
      <c r="E88" s="9" t="s">
        <v>678</v>
      </c>
      <c r="F88" s="9" t="s">
        <v>553</v>
      </c>
      <c r="G88" s="8">
        <v>90</v>
      </c>
      <c r="H88" s="237"/>
      <c r="I88" s="236">
        <f>Mat_Consum_Nun_e_Gomes[[#This Row],[VALOR UNID]]*Mat_Consum_Dados[[#This Row],[QUANT ]]</f>
        <v>0</v>
      </c>
      <c r="J88" s="236">
        <f>Mat_Consum_Nun_e_Gomes[[#This Row],[VALOR MÊS]]*12</f>
        <v>0</v>
      </c>
      <c r="L88" s="12"/>
      <c r="N88" s="15"/>
    </row>
    <row r="89" spans="1:14" s="8" customFormat="1" ht="26.25" customHeight="1" x14ac:dyDescent="0.25">
      <c r="A89" s="8" t="s">
        <v>246</v>
      </c>
      <c r="B89" s="8" t="s">
        <v>1319</v>
      </c>
      <c r="C89" s="9" t="s">
        <v>1130</v>
      </c>
      <c r="D89" s="9" t="s">
        <v>675</v>
      </c>
      <c r="E89" s="9" t="s">
        <v>679</v>
      </c>
      <c r="F89" s="9" t="s">
        <v>553</v>
      </c>
      <c r="G89" s="8">
        <v>90</v>
      </c>
      <c r="H89" s="171"/>
      <c r="I89" s="15">
        <f>Mat_Consum_Nun_e_Gomes[[#This Row],[VALOR UNID]]*Mat_Consum_Dados[[#This Row],[QUANT ]]</f>
        <v>0</v>
      </c>
      <c r="J89" s="15">
        <f>Mat_Consum_Nun_e_Gomes[[#This Row],[VALOR MÊS]]*12</f>
        <v>0</v>
      </c>
      <c r="L89" s="12"/>
      <c r="N89" s="15"/>
    </row>
    <row r="90" spans="1:14" s="8" customFormat="1" ht="26.25" customHeight="1" x14ac:dyDescent="0.25">
      <c r="A90" s="8" t="s">
        <v>248</v>
      </c>
      <c r="B90" s="8" t="s">
        <v>1319</v>
      </c>
      <c r="C90" s="9" t="s">
        <v>1130</v>
      </c>
      <c r="D90" s="9" t="s">
        <v>680</v>
      </c>
      <c r="E90" s="9" t="s">
        <v>654</v>
      </c>
      <c r="F90" s="9" t="s">
        <v>681</v>
      </c>
      <c r="G90" s="8">
        <v>45</v>
      </c>
      <c r="H90" s="237"/>
      <c r="I90" s="236">
        <f>Mat_Consum_Nun_e_Gomes[[#This Row],[VALOR UNID]]*Mat_Consum_Dados[[#This Row],[QUANT ]]</f>
        <v>0</v>
      </c>
      <c r="J90" s="236">
        <f>Mat_Consum_Nun_e_Gomes[[#This Row],[VALOR MÊS]]*12</f>
        <v>0</v>
      </c>
      <c r="L90" s="12"/>
      <c r="N90" s="15"/>
    </row>
    <row r="91" spans="1:14" s="8" customFormat="1" ht="26.25" customHeight="1" x14ac:dyDescent="0.25">
      <c r="A91" s="8" t="s">
        <v>250</v>
      </c>
      <c r="B91" s="8" t="s">
        <v>1319</v>
      </c>
      <c r="C91" s="9" t="s">
        <v>1130</v>
      </c>
      <c r="D91" s="9" t="s">
        <v>680</v>
      </c>
      <c r="E91" s="9" t="s">
        <v>650</v>
      </c>
      <c r="F91" s="9" t="s">
        <v>681</v>
      </c>
      <c r="G91" s="8">
        <v>60</v>
      </c>
      <c r="H91" s="171"/>
      <c r="I91" s="15">
        <f>Mat_Consum_Nun_e_Gomes[[#This Row],[VALOR UNID]]*Mat_Consum_Dados[[#This Row],[QUANT ]]</f>
        <v>0</v>
      </c>
      <c r="J91" s="15">
        <f>Mat_Consum_Nun_e_Gomes[[#This Row],[VALOR MÊS]]*12</f>
        <v>0</v>
      </c>
      <c r="L91" s="12"/>
      <c r="N91" s="15"/>
    </row>
    <row r="92" spans="1:14" s="8" customFormat="1" ht="26.25" customHeight="1" x14ac:dyDescent="0.25">
      <c r="A92" s="8" t="s">
        <v>253</v>
      </c>
      <c r="B92" s="8" t="s">
        <v>1319</v>
      </c>
      <c r="C92" s="9" t="s">
        <v>1130</v>
      </c>
      <c r="D92" s="9" t="s">
        <v>680</v>
      </c>
      <c r="E92" s="9" t="s">
        <v>652</v>
      </c>
      <c r="F92" s="9" t="s">
        <v>682</v>
      </c>
      <c r="G92" s="8">
        <v>45</v>
      </c>
      <c r="H92" s="237"/>
      <c r="I92" s="236">
        <f>Mat_Consum_Nun_e_Gomes[[#This Row],[VALOR UNID]]*Mat_Consum_Dados[[#This Row],[QUANT ]]</f>
        <v>0</v>
      </c>
      <c r="J92" s="236">
        <f>Mat_Consum_Nun_e_Gomes[[#This Row],[VALOR MÊS]]*12</f>
        <v>0</v>
      </c>
      <c r="L92" s="12"/>
      <c r="N92" s="15"/>
    </row>
    <row r="93" spans="1:14" s="8" customFormat="1" ht="26.25" customHeight="1" x14ac:dyDescent="0.25">
      <c r="A93" s="8" t="s">
        <v>255</v>
      </c>
      <c r="C93" s="9" t="s">
        <v>1130</v>
      </c>
      <c r="D93" s="9" t="s">
        <v>683</v>
      </c>
      <c r="E93" s="9" t="s">
        <v>684</v>
      </c>
      <c r="F93" s="9" t="s">
        <v>553</v>
      </c>
      <c r="G93" s="8">
        <v>6</v>
      </c>
      <c r="H93" s="171"/>
      <c r="I93" s="15">
        <f>Mat_Consum_Nun_e_Gomes[[#This Row],[VALOR UNID]]*Mat_Consum_Dados[[#This Row],[QUANT ]]</f>
        <v>0</v>
      </c>
      <c r="J93" s="15">
        <f>Mat_Consum_Nun_e_Gomes[[#This Row],[VALOR MÊS]]*12</f>
        <v>0</v>
      </c>
      <c r="L93" s="12"/>
      <c r="N93" s="15"/>
    </row>
    <row r="94" spans="1:14" s="8" customFormat="1" ht="26.25" customHeight="1" x14ac:dyDescent="0.25">
      <c r="A94" s="8" t="s">
        <v>257</v>
      </c>
      <c r="B94" s="8" t="s">
        <v>1319</v>
      </c>
      <c r="C94" s="9" t="s">
        <v>1130</v>
      </c>
      <c r="D94" s="9" t="s">
        <v>685</v>
      </c>
      <c r="E94" s="9" t="s">
        <v>543</v>
      </c>
      <c r="F94" s="9" t="s">
        <v>682</v>
      </c>
      <c r="G94" s="8">
        <v>54</v>
      </c>
      <c r="H94" s="237"/>
      <c r="I94" s="236">
        <f>Mat_Consum_Nun_e_Gomes[[#This Row],[VALOR UNID]]*Mat_Consum_Dados[[#This Row],[QUANT ]]</f>
        <v>0</v>
      </c>
      <c r="J94" s="236">
        <f>Mat_Consum_Nun_e_Gomes[[#This Row],[VALOR MÊS]]*12</f>
        <v>0</v>
      </c>
      <c r="L94" s="12"/>
      <c r="N94" s="15"/>
    </row>
    <row r="95" spans="1:14" s="8" customFormat="1" ht="26.25" customHeight="1" x14ac:dyDescent="0.25">
      <c r="A95" s="8" t="s">
        <v>259</v>
      </c>
      <c r="B95" s="8" t="s">
        <v>1319</v>
      </c>
      <c r="C95" s="9" t="s">
        <v>1130</v>
      </c>
      <c r="D95" s="9" t="s">
        <v>686</v>
      </c>
      <c r="E95" s="9" t="s">
        <v>543</v>
      </c>
      <c r="F95" s="9" t="s">
        <v>687</v>
      </c>
      <c r="G95" s="8">
        <v>36</v>
      </c>
      <c r="H95" s="171"/>
      <c r="I95" s="15">
        <f>Mat_Consum_Nun_e_Gomes[[#This Row],[VALOR UNID]]*Mat_Consum_Dados[[#This Row],[QUANT ]]</f>
        <v>0</v>
      </c>
      <c r="J95" s="15">
        <f>Mat_Consum_Nun_e_Gomes[[#This Row],[VALOR MÊS]]*12</f>
        <v>0</v>
      </c>
      <c r="L95" s="12"/>
      <c r="N95" s="15"/>
    </row>
    <row r="96" spans="1:14" s="8" customFormat="1" ht="26.25" customHeight="1" x14ac:dyDescent="0.25">
      <c r="A96" s="8" t="s">
        <v>260</v>
      </c>
      <c r="B96" s="8" t="s">
        <v>1319</v>
      </c>
      <c r="C96" s="9" t="s">
        <v>1130</v>
      </c>
      <c r="D96" s="9" t="s">
        <v>688</v>
      </c>
      <c r="E96" s="9" t="s">
        <v>601</v>
      </c>
      <c r="F96" s="9" t="s">
        <v>564</v>
      </c>
      <c r="G96" s="8">
        <v>60</v>
      </c>
      <c r="H96" s="237"/>
      <c r="I96" s="236">
        <f>Mat_Consum_Nun_e_Gomes[[#This Row],[VALOR UNID]]*Mat_Consum_Dados[[#This Row],[QUANT ]]</f>
        <v>0</v>
      </c>
      <c r="J96" s="236">
        <f>Mat_Consum_Nun_e_Gomes[[#This Row],[VALOR MÊS]]*12</f>
        <v>0</v>
      </c>
      <c r="L96" s="12"/>
      <c r="N96" s="15"/>
    </row>
    <row r="97" spans="1:14" s="8" customFormat="1" ht="26.25" customHeight="1" x14ac:dyDescent="0.25">
      <c r="A97" s="8" t="s">
        <v>262</v>
      </c>
      <c r="B97" s="8" t="s">
        <v>1319</v>
      </c>
      <c r="C97" s="9" t="s">
        <v>1130</v>
      </c>
      <c r="D97" s="9" t="s">
        <v>689</v>
      </c>
      <c r="E97" s="9" t="s">
        <v>690</v>
      </c>
      <c r="F97" s="9" t="s">
        <v>564</v>
      </c>
      <c r="G97" s="8">
        <v>15</v>
      </c>
      <c r="H97" s="171"/>
      <c r="I97" s="15">
        <f>Mat_Consum_Nun_e_Gomes[[#This Row],[VALOR UNID]]*Mat_Consum_Dados[[#This Row],[QUANT ]]</f>
        <v>0</v>
      </c>
      <c r="J97" s="15">
        <f>Mat_Consum_Nun_e_Gomes[[#This Row],[VALOR MÊS]]*12</f>
        <v>0</v>
      </c>
      <c r="L97" s="12"/>
      <c r="N97" s="15"/>
    </row>
    <row r="98" spans="1:14" s="8" customFormat="1" ht="26.25" customHeight="1" x14ac:dyDescent="0.25">
      <c r="A98" s="8" t="s">
        <v>264</v>
      </c>
      <c r="B98" s="8" t="s">
        <v>1319</v>
      </c>
      <c r="C98" s="9" t="s">
        <v>1130</v>
      </c>
      <c r="D98" s="9" t="s">
        <v>689</v>
      </c>
      <c r="E98" s="9" t="s">
        <v>691</v>
      </c>
      <c r="F98" s="9" t="s">
        <v>564</v>
      </c>
      <c r="G98" s="8">
        <v>15</v>
      </c>
      <c r="H98" s="237"/>
      <c r="I98" s="236">
        <f>Mat_Consum_Nun_e_Gomes[[#This Row],[VALOR UNID]]*Mat_Consum_Dados[[#This Row],[QUANT ]]</f>
        <v>0</v>
      </c>
      <c r="J98" s="236">
        <f>Mat_Consum_Nun_e_Gomes[[#This Row],[VALOR MÊS]]*12</f>
        <v>0</v>
      </c>
      <c r="L98" s="12"/>
      <c r="N98" s="15"/>
    </row>
    <row r="99" spans="1:14" s="8" customFormat="1" ht="26.25" customHeight="1" x14ac:dyDescent="0.25">
      <c r="A99" s="8" t="s">
        <v>267</v>
      </c>
      <c r="B99" s="8" t="s">
        <v>1319</v>
      </c>
      <c r="C99" s="9" t="s">
        <v>1130</v>
      </c>
      <c r="D99" s="9" t="s">
        <v>692</v>
      </c>
      <c r="E99" s="9" t="s">
        <v>19</v>
      </c>
      <c r="F99" s="9" t="s">
        <v>693</v>
      </c>
      <c r="G99" s="8">
        <v>15</v>
      </c>
      <c r="H99" s="171"/>
      <c r="I99" s="15">
        <f>Mat_Consum_Nun_e_Gomes[[#This Row],[VALOR UNID]]*Mat_Consum_Dados[[#This Row],[QUANT ]]</f>
        <v>0</v>
      </c>
      <c r="J99" s="15">
        <f>Mat_Consum_Nun_e_Gomes[[#This Row],[VALOR MÊS]]*12</f>
        <v>0</v>
      </c>
      <c r="L99" s="12"/>
      <c r="N99" s="15"/>
    </row>
    <row r="100" spans="1:14" s="8" customFormat="1" ht="26.25" customHeight="1" x14ac:dyDescent="0.25">
      <c r="A100" s="8" t="s">
        <v>271</v>
      </c>
      <c r="C100" s="9" t="s">
        <v>1130</v>
      </c>
      <c r="D100" s="9" t="s">
        <v>694</v>
      </c>
      <c r="E100" s="9" t="s">
        <v>695</v>
      </c>
      <c r="F100" s="9" t="s">
        <v>553</v>
      </c>
      <c r="G100" s="8">
        <v>1793</v>
      </c>
      <c r="H100" s="237"/>
      <c r="I100" s="236">
        <f>Mat_Consum_Nun_e_Gomes[[#This Row],[VALOR UNID]]*Mat_Consum_Dados[[#This Row],[QUANT ]]</f>
        <v>0</v>
      </c>
      <c r="J100" s="236">
        <f>Mat_Consum_Nun_e_Gomes[[#This Row],[VALOR MÊS]]*12</f>
        <v>0</v>
      </c>
      <c r="L100" s="12"/>
      <c r="N100" s="15"/>
    </row>
    <row r="101" spans="1:14" s="8" customFormat="1" ht="26.25" customHeight="1" x14ac:dyDescent="0.25">
      <c r="A101" s="8" t="s">
        <v>272</v>
      </c>
      <c r="B101" s="8" t="s">
        <v>1319</v>
      </c>
      <c r="C101" s="9" t="s">
        <v>1130</v>
      </c>
      <c r="D101" s="9" t="s">
        <v>696</v>
      </c>
      <c r="E101" s="9" t="s">
        <v>19</v>
      </c>
      <c r="F101" s="9" t="s">
        <v>553</v>
      </c>
      <c r="G101" s="8">
        <v>1688</v>
      </c>
      <c r="H101" s="171"/>
      <c r="I101" s="15">
        <f>Mat_Consum_Nun_e_Gomes[[#This Row],[VALOR UNID]]/6*(Mat_Consum_Dados[[#This Row],[QUANT ]])</f>
        <v>0</v>
      </c>
      <c r="J101" s="15">
        <f>Mat_Consum_Nun_e_Gomes[[#This Row],[VALOR MÊS]]*12</f>
        <v>0</v>
      </c>
      <c r="L101" s="12"/>
      <c r="N101" s="15"/>
    </row>
    <row r="102" spans="1:14" s="8" customFormat="1" ht="26.25" customHeight="1" x14ac:dyDescent="0.25">
      <c r="A102" s="8" t="s">
        <v>275</v>
      </c>
      <c r="C102" s="9" t="s">
        <v>1130</v>
      </c>
      <c r="D102" s="9" t="s">
        <v>697</v>
      </c>
      <c r="E102" s="9" t="s">
        <v>19</v>
      </c>
      <c r="F102" s="9" t="s">
        <v>561</v>
      </c>
      <c r="G102" s="8">
        <v>15</v>
      </c>
      <c r="H102" s="237"/>
      <c r="I102" s="236">
        <f>Mat_Consum_Nun_e_Gomes[[#This Row],[VALOR UNID]]*Mat_Consum_Dados[[#This Row],[QUANT ]]</f>
        <v>0</v>
      </c>
      <c r="J102" s="236">
        <f>Mat_Consum_Nun_e_Gomes[[#This Row],[VALOR MÊS]]*12</f>
        <v>0</v>
      </c>
      <c r="L102" s="12"/>
      <c r="N102" s="15"/>
    </row>
    <row r="103" spans="1:14" s="8" customFormat="1" ht="26.25" customHeight="1" x14ac:dyDescent="0.25">
      <c r="A103" s="8" t="s">
        <v>278</v>
      </c>
      <c r="C103" s="9" t="s">
        <v>1130</v>
      </c>
      <c r="D103" s="9" t="s">
        <v>698</v>
      </c>
      <c r="E103" s="9" t="s">
        <v>19</v>
      </c>
      <c r="F103" s="9" t="s">
        <v>561</v>
      </c>
      <c r="G103" s="8">
        <v>15</v>
      </c>
      <c r="H103" s="171"/>
      <c r="I103" s="15">
        <f>Mat_Consum_Nun_e_Gomes[[#This Row],[VALOR UNID]]*Mat_Consum_Dados[[#This Row],[QUANT ]]</f>
        <v>0</v>
      </c>
      <c r="J103" s="15">
        <f>Mat_Consum_Nun_e_Gomes[[#This Row],[VALOR MÊS]]*12</f>
        <v>0</v>
      </c>
      <c r="L103" s="12"/>
      <c r="N103" s="15"/>
    </row>
    <row r="104" spans="1:14" s="8" customFormat="1" ht="26.25" customHeight="1" x14ac:dyDescent="0.25">
      <c r="A104" s="8" t="s">
        <v>284</v>
      </c>
      <c r="B104" s="8" t="s">
        <v>1319</v>
      </c>
      <c r="C104" s="9" t="s">
        <v>1130</v>
      </c>
      <c r="D104" s="9" t="s">
        <v>699</v>
      </c>
      <c r="E104" s="9" t="s">
        <v>700</v>
      </c>
      <c r="F104" s="9" t="s">
        <v>701</v>
      </c>
      <c r="G104" s="8">
        <v>15</v>
      </c>
      <c r="H104" s="237"/>
      <c r="I104" s="236">
        <f>Mat_Consum_Nun_e_Gomes[[#This Row],[VALOR UNID]]*Mat_Consum_Dados[[#This Row],[QUANT ]]</f>
        <v>0</v>
      </c>
      <c r="J104" s="236">
        <f>Mat_Consum_Nun_e_Gomes[[#This Row],[VALOR MÊS]]*12</f>
        <v>0</v>
      </c>
      <c r="L104" s="12"/>
      <c r="N104" s="15"/>
    </row>
    <row r="105" spans="1:14" s="8" customFormat="1" ht="26.25" customHeight="1" x14ac:dyDescent="0.25">
      <c r="A105" s="8" t="s">
        <v>287</v>
      </c>
      <c r="B105" s="8" t="s">
        <v>1319</v>
      </c>
      <c r="C105" s="9" t="s">
        <v>1130</v>
      </c>
      <c r="D105" s="9" t="s">
        <v>702</v>
      </c>
      <c r="E105" s="9" t="s">
        <v>703</v>
      </c>
      <c r="F105" s="9" t="s">
        <v>553</v>
      </c>
      <c r="G105" s="8">
        <v>1325</v>
      </c>
      <c r="H105" s="171"/>
      <c r="I105" s="15">
        <f>Mat_Consum_Nun_e_Gomes[[#This Row],[VALOR UNID]]/6*(Mat_Consum_Dados[[#This Row],[QUANT ]])</f>
        <v>0</v>
      </c>
      <c r="J105" s="15">
        <f>Mat_Consum_Nun_e_Gomes[[#This Row],[VALOR MÊS]]*12</f>
        <v>0</v>
      </c>
      <c r="L105" s="12"/>
      <c r="N105" s="15"/>
    </row>
    <row r="106" spans="1:14" s="8" customFormat="1" ht="26.25" customHeight="1" x14ac:dyDescent="0.25">
      <c r="A106" s="8" t="s">
        <v>291</v>
      </c>
      <c r="B106" s="8" t="s">
        <v>1319</v>
      </c>
      <c r="C106" s="9" t="s">
        <v>1130</v>
      </c>
      <c r="D106" s="9" t="s">
        <v>702</v>
      </c>
      <c r="E106" s="9" t="s">
        <v>704</v>
      </c>
      <c r="F106" s="9" t="s">
        <v>553</v>
      </c>
      <c r="G106" s="8">
        <v>675</v>
      </c>
      <c r="H106" s="237"/>
      <c r="I106" s="236">
        <f>Mat_Consum_Nun_e_Gomes[[#This Row],[VALOR UNID]]/6*(Mat_Consum_Dados[[#This Row],[QUANT ]])</f>
        <v>0</v>
      </c>
      <c r="J106" s="236">
        <f>Mat_Consum_Nun_e_Gomes[[#This Row],[VALOR MÊS]]*12</f>
        <v>0</v>
      </c>
      <c r="L106" s="12"/>
      <c r="N106" s="15"/>
    </row>
    <row r="107" spans="1:14" s="8" customFormat="1" ht="26.25" customHeight="1" x14ac:dyDescent="0.25">
      <c r="A107" s="8" t="s">
        <v>294</v>
      </c>
      <c r="B107" s="8" t="s">
        <v>1319</v>
      </c>
      <c r="C107" s="9" t="s">
        <v>1130</v>
      </c>
      <c r="D107" s="9" t="s">
        <v>702</v>
      </c>
      <c r="E107" s="9" t="s">
        <v>705</v>
      </c>
      <c r="F107" s="9" t="s">
        <v>553</v>
      </c>
      <c r="G107" s="8">
        <v>1325</v>
      </c>
      <c r="H107" s="171"/>
      <c r="I107" s="15">
        <f>Mat_Consum_Nun_e_Gomes[[#This Row],[VALOR UNID]]/6*(Mat_Consum_Dados[[#This Row],[QUANT ]])</f>
        <v>0</v>
      </c>
      <c r="J107" s="15">
        <f>Mat_Consum_Nun_e_Gomes[[#This Row],[VALOR MÊS]]*12</f>
        <v>0</v>
      </c>
      <c r="L107" s="12"/>
      <c r="N107" s="15"/>
    </row>
    <row r="108" spans="1:14" s="8" customFormat="1" ht="26.25" customHeight="1" x14ac:dyDescent="0.25">
      <c r="A108" s="8" t="s">
        <v>297</v>
      </c>
      <c r="B108" s="8" t="s">
        <v>1319</v>
      </c>
      <c r="C108" s="9" t="s">
        <v>1130</v>
      </c>
      <c r="D108" s="9" t="s">
        <v>702</v>
      </c>
      <c r="E108" s="9" t="s">
        <v>706</v>
      </c>
      <c r="F108" s="9" t="s">
        <v>553</v>
      </c>
      <c r="G108" s="8">
        <v>1325</v>
      </c>
      <c r="H108" s="237"/>
      <c r="I108" s="236">
        <f>Mat_Consum_Nun_e_Gomes[[#This Row],[VALOR UNID]]*Mat_Consum_Dados[[#This Row],[QUANT ]]</f>
        <v>0</v>
      </c>
      <c r="J108" s="236">
        <f>Mat_Consum_Nun_e_Gomes[[#This Row],[VALOR MÊS]]*12</f>
        <v>0</v>
      </c>
      <c r="L108" s="12"/>
      <c r="N108" s="15"/>
    </row>
    <row r="109" spans="1:14" s="8" customFormat="1" ht="26.25" customHeight="1" x14ac:dyDescent="0.25">
      <c r="A109" s="8" t="s">
        <v>300</v>
      </c>
      <c r="B109" s="8" t="s">
        <v>1319</v>
      </c>
      <c r="C109" s="9" t="s">
        <v>1130</v>
      </c>
      <c r="D109" s="9" t="s">
        <v>707</v>
      </c>
      <c r="E109" s="9" t="s">
        <v>708</v>
      </c>
      <c r="F109" s="9" t="s">
        <v>553</v>
      </c>
      <c r="G109" s="8">
        <v>1793</v>
      </c>
      <c r="H109" s="171"/>
      <c r="I109" s="15">
        <f>Mat_Consum_Nun_e_Gomes[[#This Row],[VALOR UNID]]*Mat_Consum_Dados[[#This Row],[QUANT ]]</f>
        <v>0</v>
      </c>
      <c r="J109" s="15">
        <f>Mat_Consum_Nun_e_Gomes[[#This Row],[VALOR MÊS]]*12</f>
        <v>0</v>
      </c>
      <c r="L109" s="12"/>
      <c r="N109" s="15"/>
    </row>
    <row r="110" spans="1:14" s="8" customFormat="1" ht="26.25" customHeight="1" x14ac:dyDescent="0.25">
      <c r="A110" s="8" t="s">
        <v>303</v>
      </c>
      <c r="B110" s="8" t="s">
        <v>1319</v>
      </c>
      <c r="C110" s="9" t="s">
        <v>1130</v>
      </c>
      <c r="D110" s="9" t="s">
        <v>707</v>
      </c>
      <c r="E110" s="9" t="s">
        <v>709</v>
      </c>
      <c r="F110" s="9" t="s">
        <v>553</v>
      </c>
      <c r="G110" s="8">
        <v>1793</v>
      </c>
      <c r="H110" s="237"/>
      <c r="I110" s="236">
        <f>Mat_Consum_Nun_e_Gomes[[#This Row],[VALOR UNID]]*Mat_Consum_Dados[[#This Row],[QUANT ]]</f>
        <v>0</v>
      </c>
      <c r="J110" s="236">
        <f>Mat_Consum_Nun_e_Gomes[[#This Row],[VALOR MÊS]]*12</f>
        <v>0</v>
      </c>
      <c r="L110" s="12"/>
      <c r="N110" s="15"/>
    </row>
    <row r="111" spans="1:14" s="8" customFormat="1" ht="26.25" customHeight="1" x14ac:dyDescent="0.25">
      <c r="A111" s="8" t="s">
        <v>305</v>
      </c>
      <c r="B111" s="8" t="s">
        <v>1319</v>
      </c>
      <c r="C111" s="9" t="s">
        <v>1130</v>
      </c>
      <c r="D111" s="9" t="s">
        <v>707</v>
      </c>
      <c r="E111" s="9" t="s">
        <v>710</v>
      </c>
      <c r="F111" s="9" t="s">
        <v>553</v>
      </c>
      <c r="G111" s="8">
        <v>904</v>
      </c>
      <c r="H111" s="171"/>
      <c r="I111" s="15">
        <f>Mat_Consum_Nun_e_Gomes[[#This Row],[VALOR UNID]]*Mat_Consum_Dados[[#This Row],[QUANT ]]</f>
        <v>0</v>
      </c>
      <c r="J111" s="15">
        <f>Mat_Consum_Nun_e_Gomes[[#This Row],[VALOR MÊS]]*12</f>
        <v>0</v>
      </c>
      <c r="L111" s="12"/>
      <c r="N111" s="15"/>
    </row>
    <row r="112" spans="1:14" s="8" customFormat="1" ht="26.25" customHeight="1" x14ac:dyDescent="0.25">
      <c r="A112" s="8" t="s">
        <v>306</v>
      </c>
      <c r="B112" s="8" t="s">
        <v>1319</v>
      </c>
      <c r="C112" s="9" t="s">
        <v>1130</v>
      </c>
      <c r="D112" s="9" t="s">
        <v>707</v>
      </c>
      <c r="E112" s="9" t="s">
        <v>711</v>
      </c>
      <c r="F112" s="9" t="s">
        <v>553</v>
      </c>
      <c r="G112" s="8">
        <v>369</v>
      </c>
      <c r="H112" s="237"/>
      <c r="I112" s="236">
        <f>Mat_Consum_Nun_e_Gomes[[#This Row],[VALOR UNID]]*Mat_Consum_Dados[[#This Row],[QUANT ]]</f>
        <v>0</v>
      </c>
      <c r="J112" s="236">
        <f>Mat_Consum_Nun_e_Gomes[[#This Row],[VALOR MÊS]]*12</f>
        <v>0</v>
      </c>
      <c r="L112" s="12"/>
      <c r="N112" s="15"/>
    </row>
    <row r="113" spans="1:14" s="8" customFormat="1" ht="26.25" customHeight="1" x14ac:dyDescent="0.25">
      <c r="A113" s="8" t="s">
        <v>309</v>
      </c>
      <c r="B113" s="8" t="s">
        <v>1319</v>
      </c>
      <c r="C113" s="9" t="s">
        <v>1130</v>
      </c>
      <c r="D113" s="9" t="s">
        <v>707</v>
      </c>
      <c r="E113" s="9" t="s">
        <v>712</v>
      </c>
      <c r="F113" s="9" t="s">
        <v>553</v>
      </c>
      <c r="G113" s="8">
        <v>369</v>
      </c>
      <c r="H113" s="171"/>
      <c r="I113" s="15">
        <f>Mat_Consum_Nun_e_Gomes[[#This Row],[VALOR UNID]]*Mat_Consum_Dados[[#This Row],[QUANT ]]</f>
        <v>0</v>
      </c>
      <c r="J113" s="15">
        <f>Mat_Consum_Nun_e_Gomes[[#This Row],[VALOR MÊS]]*12</f>
        <v>0</v>
      </c>
      <c r="L113" s="12"/>
      <c r="N113" s="15"/>
    </row>
    <row r="114" spans="1:14" s="8" customFormat="1" ht="26.25" customHeight="1" x14ac:dyDescent="0.25">
      <c r="A114" s="8" t="s">
        <v>312</v>
      </c>
      <c r="B114" s="8" t="s">
        <v>1319</v>
      </c>
      <c r="C114" s="9" t="s">
        <v>1130</v>
      </c>
      <c r="D114" s="9" t="s">
        <v>713</v>
      </c>
      <c r="E114" s="9" t="s">
        <v>714</v>
      </c>
      <c r="F114" s="9" t="s">
        <v>553</v>
      </c>
      <c r="G114" s="8">
        <v>15</v>
      </c>
      <c r="H114" s="237"/>
      <c r="I114" s="236">
        <f>Mat_Consum_Nun_e_Gomes[[#This Row],[VALOR UNID]]*Mat_Consum_Dados[[#This Row],[QUANT ]]</f>
        <v>0</v>
      </c>
      <c r="J114" s="236">
        <f>Mat_Consum_Nun_e_Gomes[[#This Row],[VALOR MÊS]]*12</f>
        <v>0</v>
      </c>
      <c r="L114" s="12"/>
      <c r="N114" s="15"/>
    </row>
    <row r="115" spans="1:14" s="8" customFormat="1" ht="26.25" customHeight="1" x14ac:dyDescent="0.25">
      <c r="A115" s="8" t="s">
        <v>313</v>
      </c>
      <c r="B115" s="8" t="s">
        <v>1319</v>
      </c>
      <c r="C115" s="9" t="s">
        <v>1130</v>
      </c>
      <c r="D115" s="9" t="s">
        <v>713</v>
      </c>
      <c r="E115" s="9" t="s">
        <v>715</v>
      </c>
      <c r="F115" s="9" t="s">
        <v>553</v>
      </c>
      <c r="G115" s="8">
        <v>15</v>
      </c>
      <c r="H115" s="171"/>
      <c r="I115" s="15">
        <f>Mat_Consum_Nun_e_Gomes[[#This Row],[VALOR UNID]]*Mat_Consum_Dados[[#This Row],[QUANT ]]</f>
        <v>0</v>
      </c>
      <c r="J115" s="15">
        <f>Mat_Consum_Nun_e_Gomes[[#This Row],[VALOR MÊS]]*12</f>
        <v>0</v>
      </c>
      <c r="L115" s="12"/>
      <c r="N115" s="15"/>
    </row>
    <row r="116" spans="1:14" s="8" customFormat="1" ht="26.25" customHeight="1" x14ac:dyDescent="0.25">
      <c r="A116" s="8" t="s">
        <v>316</v>
      </c>
      <c r="B116" s="8" t="s">
        <v>1319</v>
      </c>
      <c r="C116" s="9" t="s">
        <v>1130</v>
      </c>
      <c r="D116" s="9" t="s">
        <v>713</v>
      </c>
      <c r="E116" s="9" t="s">
        <v>716</v>
      </c>
      <c r="F116" s="9" t="s">
        <v>553</v>
      </c>
      <c r="G116" s="8">
        <v>15</v>
      </c>
      <c r="H116" s="237"/>
      <c r="I116" s="236">
        <f>Mat_Consum_Nun_e_Gomes[[#This Row],[VALOR UNID]]*Mat_Consum_Dados[[#This Row],[QUANT ]]</f>
        <v>0</v>
      </c>
      <c r="J116" s="236">
        <f>Mat_Consum_Nun_e_Gomes[[#This Row],[VALOR MÊS]]*12</f>
        <v>0</v>
      </c>
      <c r="L116" s="12"/>
      <c r="N116" s="15"/>
    </row>
    <row r="117" spans="1:14" s="8" customFormat="1" ht="26.25" customHeight="1" x14ac:dyDescent="0.25">
      <c r="A117" s="8" t="s">
        <v>317</v>
      </c>
      <c r="B117" s="8" t="s">
        <v>1319</v>
      </c>
      <c r="C117" s="9" t="s">
        <v>1130</v>
      </c>
      <c r="D117" s="9" t="s">
        <v>713</v>
      </c>
      <c r="E117" s="9" t="s">
        <v>717</v>
      </c>
      <c r="F117" s="9" t="s">
        <v>553</v>
      </c>
      <c r="G117" s="8">
        <v>15</v>
      </c>
      <c r="H117" s="171"/>
      <c r="I117" s="15">
        <f>Mat_Consum_Nun_e_Gomes[[#This Row],[VALOR UNID]]*Mat_Consum_Dados[[#This Row],[QUANT ]]</f>
        <v>0</v>
      </c>
      <c r="J117" s="15">
        <f>Mat_Consum_Nun_e_Gomes[[#This Row],[VALOR MÊS]]*12</f>
        <v>0</v>
      </c>
      <c r="L117" s="12"/>
      <c r="N117" s="15"/>
    </row>
    <row r="118" spans="1:14" s="8" customFormat="1" ht="26.25" customHeight="1" x14ac:dyDescent="0.25">
      <c r="A118" s="8" t="s">
        <v>318</v>
      </c>
      <c r="B118" s="8" t="s">
        <v>1319</v>
      </c>
      <c r="C118" s="9" t="s">
        <v>1130</v>
      </c>
      <c r="D118" s="9" t="s">
        <v>718</v>
      </c>
      <c r="E118" s="9" t="s">
        <v>719</v>
      </c>
      <c r="F118" s="9" t="s">
        <v>553</v>
      </c>
      <c r="G118" s="8">
        <v>15</v>
      </c>
      <c r="H118" s="237"/>
      <c r="I118" s="236">
        <f>Mat_Consum_Nun_e_Gomes[[#This Row],[VALOR UNID]]*Mat_Consum_Dados[[#This Row],[QUANT ]]</f>
        <v>0</v>
      </c>
      <c r="J118" s="236">
        <f>Mat_Consum_Nun_e_Gomes[[#This Row],[VALOR MÊS]]*12</f>
        <v>0</v>
      </c>
      <c r="L118" s="12"/>
      <c r="N118" s="15"/>
    </row>
    <row r="119" spans="1:14" s="8" customFormat="1" ht="26.25" customHeight="1" x14ac:dyDescent="0.25">
      <c r="A119" s="8" t="s">
        <v>321</v>
      </c>
      <c r="B119" s="8" t="s">
        <v>1319</v>
      </c>
      <c r="C119" s="9" t="s">
        <v>1130</v>
      </c>
      <c r="D119" s="9" t="s">
        <v>718</v>
      </c>
      <c r="E119" s="9" t="s">
        <v>720</v>
      </c>
      <c r="F119" s="9" t="s">
        <v>553</v>
      </c>
      <c r="G119" s="8">
        <v>15</v>
      </c>
      <c r="H119" s="171"/>
      <c r="I119" s="15">
        <f>Mat_Consum_Nun_e_Gomes[[#This Row],[VALOR UNID]]*Mat_Consum_Dados[[#This Row],[QUANT ]]</f>
        <v>0</v>
      </c>
      <c r="J119" s="15">
        <f>Mat_Consum_Nun_e_Gomes[[#This Row],[VALOR MÊS]]*12</f>
        <v>0</v>
      </c>
      <c r="L119" s="12"/>
      <c r="N119" s="15"/>
    </row>
    <row r="120" spans="1:14" s="8" customFormat="1" ht="26.25" customHeight="1" x14ac:dyDescent="0.25">
      <c r="A120" s="8" t="s">
        <v>324</v>
      </c>
      <c r="B120" s="8" t="s">
        <v>1319</v>
      </c>
      <c r="C120" s="9" t="s">
        <v>1130</v>
      </c>
      <c r="D120" s="9" t="s">
        <v>718</v>
      </c>
      <c r="E120" s="9" t="s">
        <v>721</v>
      </c>
      <c r="F120" s="9" t="s">
        <v>553</v>
      </c>
      <c r="G120" s="8">
        <v>15</v>
      </c>
      <c r="H120" s="237"/>
      <c r="I120" s="236">
        <f>Mat_Consum_Nun_e_Gomes[[#This Row],[VALOR UNID]]*Mat_Consum_Dados[[#This Row],[QUANT ]]</f>
        <v>0</v>
      </c>
      <c r="J120" s="236">
        <f>Mat_Consum_Nun_e_Gomes[[#This Row],[VALOR MÊS]]*12</f>
        <v>0</v>
      </c>
      <c r="L120" s="12"/>
      <c r="N120" s="15"/>
    </row>
    <row r="121" spans="1:14" s="8" customFormat="1" ht="26.25" customHeight="1" x14ac:dyDescent="0.25">
      <c r="A121" s="8" t="s">
        <v>326</v>
      </c>
      <c r="B121" s="8" t="s">
        <v>1319</v>
      </c>
      <c r="C121" s="9" t="s">
        <v>1130</v>
      </c>
      <c r="D121" s="9" t="s">
        <v>718</v>
      </c>
      <c r="E121" s="9" t="s">
        <v>722</v>
      </c>
      <c r="F121" s="9" t="s">
        <v>553</v>
      </c>
      <c r="G121" s="8">
        <v>15</v>
      </c>
      <c r="H121" s="171"/>
      <c r="I121" s="15">
        <f>Mat_Consum_Nun_e_Gomes[[#This Row],[VALOR UNID]]*Mat_Consum_Dados[[#This Row],[QUANT ]]</f>
        <v>0</v>
      </c>
      <c r="J121" s="15">
        <f>Mat_Consum_Nun_e_Gomes[[#This Row],[VALOR MÊS]]*12</f>
        <v>0</v>
      </c>
      <c r="L121" s="12"/>
      <c r="N121" s="15"/>
    </row>
    <row r="122" spans="1:14" s="8" customFormat="1" ht="26.25" customHeight="1" x14ac:dyDescent="0.25">
      <c r="A122" s="8" t="s">
        <v>328</v>
      </c>
      <c r="B122" s="8" t="s">
        <v>1319</v>
      </c>
      <c r="C122" s="9" t="s">
        <v>1130</v>
      </c>
      <c r="D122" s="9" t="s">
        <v>718</v>
      </c>
      <c r="E122" s="9" t="s">
        <v>723</v>
      </c>
      <c r="F122" s="9" t="s">
        <v>553</v>
      </c>
      <c r="G122" s="8">
        <v>15</v>
      </c>
      <c r="H122" s="237"/>
      <c r="I122" s="236">
        <f>Mat_Consum_Nun_e_Gomes[[#This Row],[VALOR UNID]]*Mat_Consum_Dados[[#This Row],[QUANT ]]</f>
        <v>0</v>
      </c>
      <c r="J122" s="236">
        <f>Mat_Consum_Nun_e_Gomes[[#This Row],[VALOR MÊS]]*12</f>
        <v>0</v>
      </c>
      <c r="L122" s="12"/>
      <c r="N122" s="15"/>
    </row>
    <row r="123" spans="1:14" s="8" customFormat="1" ht="26.25" customHeight="1" x14ac:dyDescent="0.25">
      <c r="A123" s="8" t="s">
        <v>329</v>
      </c>
      <c r="B123" s="8" t="s">
        <v>1319</v>
      </c>
      <c r="C123" s="9" t="s">
        <v>1130</v>
      </c>
      <c r="D123" s="9" t="s">
        <v>718</v>
      </c>
      <c r="E123" s="9" t="s">
        <v>724</v>
      </c>
      <c r="F123" s="9" t="s">
        <v>553</v>
      </c>
      <c r="G123" s="8">
        <v>15</v>
      </c>
      <c r="H123" s="171"/>
      <c r="I123" s="15">
        <f>Mat_Consum_Nun_e_Gomes[[#This Row],[VALOR UNID]]/6*(Mat_Consum_Dados[[#This Row],[QUANT ]])</f>
        <v>0</v>
      </c>
      <c r="J123" s="15">
        <f>Mat_Consum_Nun_e_Gomes[[#This Row],[VALOR MÊS]]*12</f>
        <v>0</v>
      </c>
      <c r="L123" s="12"/>
      <c r="N123" s="15"/>
    </row>
    <row r="124" spans="1:14" s="8" customFormat="1" ht="26.25" customHeight="1" x14ac:dyDescent="0.25">
      <c r="A124" s="8" t="s">
        <v>330</v>
      </c>
      <c r="B124" s="8" t="s">
        <v>1319</v>
      </c>
      <c r="C124" s="9" t="s">
        <v>1130</v>
      </c>
      <c r="D124" s="9" t="s">
        <v>725</v>
      </c>
      <c r="E124" s="9" t="s">
        <v>714</v>
      </c>
      <c r="F124" s="9" t="s">
        <v>553</v>
      </c>
      <c r="G124" s="8">
        <v>15</v>
      </c>
      <c r="H124" s="237"/>
      <c r="I124" s="236">
        <f>Mat_Consum_Nun_e_Gomes[[#This Row],[VALOR UNID]]/6*(Mat_Consum_Dados[[#This Row],[QUANT ]])</f>
        <v>0</v>
      </c>
      <c r="J124" s="236">
        <f>Mat_Consum_Nun_e_Gomes[[#This Row],[VALOR MÊS]]*12</f>
        <v>0</v>
      </c>
      <c r="L124" s="12"/>
      <c r="N124" s="15"/>
    </row>
    <row r="125" spans="1:14" s="8" customFormat="1" ht="26.25" customHeight="1" x14ac:dyDescent="0.25">
      <c r="A125" s="8" t="s">
        <v>334</v>
      </c>
      <c r="B125" s="8" t="s">
        <v>1319</v>
      </c>
      <c r="C125" s="9" t="s">
        <v>1130</v>
      </c>
      <c r="D125" s="9" t="s">
        <v>726</v>
      </c>
      <c r="E125" s="9" t="s">
        <v>719</v>
      </c>
      <c r="F125" s="9" t="s">
        <v>553</v>
      </c>
      <c r="G125" s="8">
        <v>15</v>
      </c>
      <c r="H125" s="171"/>
      <c r="I125" s="15">
        <f>Mat_Consum_Nun_e_Gomes[[#This Row],[VALOR UNID]]/6*(Mat_Consum_Dados[[#This Row],[QUANT ]])</f>
        <v>0</v>
      </c>
      <c r="J125" s="15">
        <f>Mat_Consum_Nun_e_Gomes[[#This Row],[VALOR MÊS]]*12</f>
        <v>0</v>
      </c>
      <c r="L125" s="12"/>
      <c r="N125" s="15"/>
    </row>
    <row r="126" spans="1:14" s="8" customFormat="1" ht="26.25" customHeight="1" x14ac:dyDescent="0.25">
      <c r="A126" s="8" t="s">
        <v>337</v>
      </c>
      <c r="B126" s="8" t="s">
        <v>1319</v>
      </c>
      <c r="C126" s="9" t="s">
        <v>1130</v>
      </c>
      <c r="D126" s="9" t="s">
        <v>726</v>
      </c>
      <c r="E126" s="9" t="s">
        <v>720</v>
      </c>
      <c r="F126" s="9" t="s">
        <v>553</v>
      </c>
      <c r="G126" s="8">
        <v>15</v>
      </c>
      <c r="H126" s="237"/>
      <c r="I126" s="236">
        <f>Mat_Consum_Nun_e_Gomes[[#This Row],[VALOR UNID]]/6*(Mat_Consum_Dados[[#This Row],[QUANT ]])</f>
        <v>0</v>
      </c>
      <c r="J126" s="236">
        <f>Mat_Consum_Nun_e_Gomes[[#This Row],[VALOR MÊS]]*12</f>
        <v>0</v>
      </c>
      <c r="L126" s="12"/>
      <c r="N126" s="15"/>
    </row>
    <row r="127" spans="1:14" s="8" customFormat="1" ht="26.25" customHeight="1" x14ac:dyDescent="0.25">
      <c r="A127" s="8" t="s">
        <v>339</v>
      </c>
      <c r="B127" s="8" t="s">
        <v>1319</v>
      </c>
      <c r="C127" s="9" t="s">
        <v>1130</v>
      </c>
      <c r="D127" s="9" t="s">
        <v>726</v>
      </c>
      <c r="E127" s="9" t="s">
        <v>721</v>
      </c>
      <c r="F127" s="9" t="s">
        <v>553</v>
      </c>
      <c r="G127" s="8">
        <v>15</v>
      </c>
      <c r="H127" s="171"/>
      <c r="I127" s="15">
        <f>Mat_Consum_Nun_e_Gomes[[#This Row],[VALOR UNID]]/6*(Mat_Consum_Dados[[#This Row],[QUANT ]])</f>
        <v>0</v>
      </c>
      <c r="J127" s="15">
        <f>Mat_Consum_Nun_e_Gomes[[#This Row],[VALOR MÊS]]*12</f>
        <v>0</v>
      </c>
      <c r="L127" s="12"/>
      <c r="N127" s="15"/>
    </row>
    <row r="128" spans="1:14" s="8" customFormat="1" ht="26.25" customHeight="1" x14ac:dyDescent="0.25">
      <c r="A128" s="8" t="s">
        <v>342</v>
      </c>
      <c r="B128" s="8" t="s">
        <v>1319</v>
      </c>
      <c r="C128" s="9" t="s">
        <v>1130</v>
      </c>
      <c r="D128" s="9" t="s">
        <v>726</v>
      </c>
      <c r="E128" s="9" t="s">
        <v>722</v>
      </c>
      <c r="F128" s="9" t="s">
        <v>553</v>
      </c>
      <c r="G128" s="8">
        <v>15</v>
      </c>
      <c r="H128" s="237"/>
      <c r="I128" s="236">
        <f>Mat_Consum_Nun_e_Gomes[[#This Row],[VALOR UNID]]/6*(Mat_Consum_Dados[[#This Row],[QUANT ]])</f>
        <v>0</v>
      </c>
      <c r="J128" s="236">
        <f>Mat_Consum_Nun_e_Gomes[[#This Row],[VALOR MÊS]]*12</f>
        <v>0</v>
      </c>
      <c r="L128" s="12"/>
      <c r="N128" s="15"/>
    </row>
    <row r="129" spans="1:14" s="8" customFormat="1" ht="26.25" customHeight="1" x14ac:dyDescent="0.25">
      <c r="A129" s="8" t="s">
        <v>344</v>
      </c>
      <c r="B129" s="8" t="s">
        <v>1319</v>
      </c>
      <c r="C129" s="9" t="s">
        <v>1130</v>
      </c>
      <c r="D129" s="9" t="s">
        <v>726</v>
      </c>
      <c r="E129" s="9" t="s">
        <v>723</v>
      </c>
      <c r="F129" s="9" t="s">
        <v>553</v>
      </c>
      <c r="G129" s="8">
        <v>15</v>
      </c>
      <c r="H129" s="171"/>
      <c r="I129" s="15">
        <f>Mat_Consum_Nun_e_Gomes[[#This Row],[VALOR UNID]]/6*(Mat_Consum_Dados[[#This Row],[QUANT ]])</f>
        <v>0</v>
      </c>
      <c r="J129" s="15">
        <f>Mat_Consum_Nun_e_Gomes[[#This Row],[VALOR MÊS]]*12</f>
        <v>0</v>
      </c>
      <c r="L129" s="12"/>
      <c r="N129" s="15"/>
    </row>
    <row r="130" spans="1:14" s="8" customFormat="1" ht="26.25" customHeight="1" x14ac:dyDescent="0.25">
      <c r="A130" s="8" t="s">
        <v>346</v>
      </c>
      <c r="B130" s="8" t="s">
        <v>1319</v>
      </c>
      <c r="C130" s="9" t="s">
        <v>1130</v>
      </c>
      <c r="D130" s="9" t="s">
        <v>727</v>
      </c>
      <c r="E130" s="9" t="s">
        <v>723</v>
      </c>
      <c r="F130" s="9" t="s">
        <v>553</v>
      </c>
      <c r="G130" s="8">
        <v>30</v>
      </c>
      <c r="H130" s="237"/>
      <c r="I130" s="236">
        <f>Mat_Consum_Nun_e_Gomes[[#This Row],[VALOR UNID]]/6*(Mat_Consum_Dados[[#This Row],[QUANT ]])</f>
        <v>0</v>
      </c>
      <c r="J130" s="236">
        <f>Mat_Consum_Nun_e_Gomes[[#This Row],[VALOR MÊS]]*12</f>
        <v>0</v>
      </c>
      <c r="L130" s="12"/>
      <c r="N130" s="15"/>
    </row>
    <row r="131" spans="1:14" s="8" customFormat="1" ht="26.25" customHeight="1" x14ac:dyDescent="0.25">
      <c r="A131" s="8" t="s">
        <v>350</v>
      </c>
      <c r="B131" s="8" t="s">
        <v>1319</v>
      </c>
      <c r="C131" s="9" t="s">
        <v>1130</v>
      </c>
      <c r="D131" s="9" t="s">
        <v>727</v>
      </c>
      <c r="E131" s="9" t="s">
        <v>724</v>
      </c>
      <c r="F131" s="9" t="s">
        <v>553</v>
      </c>
      <c r="G131" s="8">
        <v>30</v>
      </c>
      <c r="H131" s="171"/>
      <c r="I131" s="15">
        <f>Mat_Consum_Nun_e_Gomes[[#This Row],[VALOR UNID]]/6*(Mat_Consum_Dados[[#This Row],[QUANT ]])</f>
        <v>0</v>
      </c>
      <c r="J131" s="15">
        <f>Mat_Consum_Nun_e_Gomes[[#This Row],[VALOR MÊS]]*12</f>
        <v>0</v>
      </c>
      <c r="L131" s="12"/>
      <c r="N131" s="15"/>
    </row>
    <row r="132" spans="1:14" s="8" customFormat="1" ht="26.25" customHeight="1" x14ac:dyDescent="0.25">
      <c r="A132" s="8" t="s">
        <v>352</v>
      </c>
      <c r="B132" s="8" t="s">
        <v>1319</v>
      </c>
      <c r="C132" s="9" t="s">
        <v>1130</v>
      </c>
      <c r="D132" s="9" t="s">
        <v>727</v>
      </c>
      <c r="E132" s="9" t="s">
        <v>728</v>
      </c>
      <c r="F132" s="9" t="s">
        <v>553</v>
      </c>
      <c r="G132" s="8">
        <v>30</v>
      </c>
      <c r="H132" s="237"/>
      <c r="I132" s="236">
        <f>Mat_Consum_Nun_e_Gomes[[#This Row],[VALOR UNID]]/6*(Mat_Consum_Dados[[#This Row],[QUANT ]])</f>
        <v>0</v>
      </c>
      <c r="J132" s="236">
        <f>Mat_Consum_Nun_e_Gomes[[#This Row],[VALOR MÊS]]*12</f>
        <v>0</v>
      </c>
      <c r="L132" s="12"/>
      <c r="N132" s="15"/>
    </row>
    <row r="133" spans="1:14" s="8" customFormat="1" ht="26.25" customHeight="1" x14ac:dyDescent="0.25">
      <c r="A133" s="8" t="s">
        <v>355</v>
      </c>
      <c r="B133" s="8" t="s">
        <v>1319</v>
      </c>
      <c r="C133" s="9" t="s">
        <v>1130</v>
      </c>
      <c r="D133" s="9" t="s">
        <v>727</v>
      </c>
      <c r="E133" s="9" t="s">
        <v>729</v>
      </c>
      <c r="F133" s="9" t="s">
        <v>553</v>
      </c>
      <c r="G133" s="8">
        <v>30</v>
      </c>
      <c r="H133" s="171"/>
      <c r="I133" s="15">
        <f>Mat_Consum_Nun_e_Gomes[[#This Row],[VALOR UNID]]/6*(Mat_Consum_Dados[[#This Row],[QUANT ]])</f>
        <v>0</v>
      </c>
      <c r="J133" s="15">
        <f>Mat_Consum_Nun_e_Gomes[[#This Row],[VALOR MÊS]]*12</f>
        <v>0</v>
      </c>
      <c r="L133" s="12"/>
      <c r="N133" s="15"/>
    </row>
    <row r="134" spans="1:14" s="8" customFormat="1" ht="26.25" customHeight="1" x14ac:dyDescent="0.25">
      <c r="A134" s="8" t="s">
        <v>357</v>
      </c>
      <c r="B134" s="8" t="s">
        <v>1319</v>
      </c>
      <c r="C134" s="9" t="s">
        <v>1130</v>
      </c>
      <c r="D134" s="9" t="s">
        <v>727</v>
      </c>
      <c r="E134" s="9" t="s">
        <v>730</v>
      </c>
      <c r="F134" s="9" t="s">
        <v>553</v>
      </c>
      <c r="G134" s="8">
        <v>30</v>
      </c>
      <c r="H134" s="237"/>
      <c r="I134" s="236">
        <f>Mat_Consum_Nun_e_Gomes[[#This Row],[VALOR UNID]]/6*(Mat_Consum_Dados[[#This Row],[QUANT ]])</f>
        <v>0</v>
      </c>
      <c r="J134" s="236">
        <f>Mat_Consum_Nun_e_Gomes[[#This Row],[VALOR MÊS]]*12</f>
        <v>0</v>
      </c>
      <c r="L134" s="12"/>
      <c r="N134" s="15"/>
    </row>
    <row r="135" spans="1:14" s="8" customFormat="1" ht="26.25" customHeight="1" x14ac:dyDescent="0.25">
      <c r="A135" s="8" t="s">
        <v>359</v>
      </c>
      <c r="C135" s="9" t="s">
        <v>1130</v>
      </c>
      <c r="D135" s="9" t="s">
        <v>731</v>
      </c>
      <c r="E135" s="9" t="s">
        <v>19</v>
      </c>
      <c r="F135" s="9" t="s">
        <v>553</v>
      </c>
      <c r="G135" s="8">
        <v>106</v>
      </c>
      <c r="H135" s="171"/>
      <c r="I135" s="15">
        <f>Mat_Consum_Nun_e_Gomes[[#This Row],[VALOR UNID]]/6*(Mat_Consum_Dados[[#This Row],[QUANT ]])</f>
        <v>0</v>
      </c>
      <c r="J135" s="15">
        <f>Mat_Consum_Nun_e_Gomes[[#This Row],[VALOR MÊS]]*12</f>
        <v>0</v>
      </c>
      <c r="L135" s="12"/>
      <c r="N135" s="15"/>
    </row>
    <row r="136" spans="1:14" s="8" customFormat="1" ht="26.25" customHeight="1" x14ac:dyDescent="0.25">
      <c r="A136" s="8" t="s">
        <v>362</v>
      </c>
      <c r="B136" s="8" t="s">
        <v>1319</v>
      </c>
      <c r="C136" s="9" t="s">
        <v>1130</v>
      </c>
      <c r="D136" s="9" t="s">
        <v>732</v>
      </c>
      <c r="E136" s="9" t="s">
        <v>733</v>
      </c>
      <c r="F136" s="9" t="s">
        <v>553</v>
      </c>
      <c r="G136" s="8">
        <v>15</v>
      </c>
      <c r="H136" s="237"/>
      <c r="I136" s="236">
        <f>Mat_Consum_Nun_e_Gomes[[#This Row],[VALOR UNID]]/6*(Mat_Consum_Dados[[#This Row],[QUANT ]])</f>
        <v>0</v>
      </c>
      <c r="J136" s="236">
        <f>Mat_Consum_Nun_e_Gomes[[#This Row],[VALOR MÊS]]*12</f>
        <v>0</v>
      </c>
      <c r="L136" s="12"/>
      <c r="N136" s="15"/>
    </row>
    <row r="137" spans="1:14" s="8" customFormat="1" ht="26.25" customHeight="1" x14ac:dyDescent="0.25">
      <c r="A137" s="8" t="s">
        <v>364</v>
      </c>
      <c r="B137" s="8" t="s">
        <v>1319</v>
      </c>
      <c r="C137" s="9" t="s">
        <v>1130</v>
      </c>
      <c r="D137" s="9" t="s">
        <v>732</v>
      </c>
      <c r="E137" s="9" t="s">
        <v>734</v>
      </c>
      <c r="F137" s="9" t="s">
        <v>553</v>
      </c>
      <c r="G137" s="8">
        <v>15</v>
      </c>
      <c r="H137" s="171"/>
      <c r="I137" s="15">
        <f>Mat_Consum_Nun_e_Gomes[[#This Row],[VALOR UNID]]/6*(Mat_Consum_Dados[[#This Row],[QUANT ]])</f>
        <v>0</v>
      </c>
      <c r="J137" s="15">
        <f>Mat_Consum_Nun_e_Gomes[[#This Row],[VALOR MÊS]]*12</f>
        <v>0</v>
      </c>
      <c r="L137" s="12"/>
      <c r="N137" s="15"/>
    </row>
    <row r="138" spans="1:14" s="8" customFormat="1" ht="26.25" customHeight="1" x14ac:dyDescent="0.25">
      <c r="A138" s="8" t="s">
        <v>366</v>
      </c>
      <c r="B138" s="8" t="s">
        <v>1319</v>
      </c>
      <c r="C138" s="9" t="s">
        <v>1130</v>
      </c>
      <c r="D138" s="9" t="s">
        <v>732</v>
      </c>
      <c r="E138" s="9" t="s">
        <v>735</v>
      </c>
      <c r="F138" s="9" t="s">
        <v>553</v>
      </c>
      <c r="G138" s="8">
        <v>15</v>
      </c>
      <c r="H138" s="237"/>
      <c r="I138" s="236">
        <f>Mat_Consum_Nun_e_Gomes[[#This Row],[VALOR UNID]]/6*(Mat_Consum_Dados[[#This Row],[QUANT ]])</f>
        <v>0</v>
      </c>
      <c r="J138" s="236">
        <f>Mat_Consum_Nun_e_Gomes[[#This Row],[VALOR MÊS]]*12</f>
        <v>0</v>
      </c>
      <c r="L138" s="12"/>
      <c r="N138" s="15"/>
    </row>
    <row r="139" spans="1:14" s="8" customFormat="1" ht="26.25" customHeight="1" x14ac:dyDescent="0.25">
      <c r="A139" s="8" t="s">
        <v>367</v>
      </c>
      <c r="B139" s="8" t="s">
        <v>1319</v>
      </c>
      <c r="C139" s="9" t="s">
        <v>1130</v>
      </c>
      <c r="D139" s="9" t="s">
        <v>732</v>
      </c>
      <c r="E139" s="9" t="s">
        <v>736</v>
      </c>
      <c r="F139" s="9" t="s">
        <v>553</v>
      </c>
      <c r="G139" s="8">
        <v>15</v>
      </c>
      <c r="H139" s="171"/>
      <c r="I139" s="15">
        <f>Mat_Consum_Nun_e_Gomes[[#This Row],[VALOR UNID]]/6*(Mat_Consum_Dados[[#This Row],[QUANT ]])</f>
        <v>0</v>
      </c>
      <c r="J139" s="15">
        <f>Mat_Consum_Nun_e_Gomes[[#This Row],[VALOR MÊS]]*12</f>
        <v>0</v>
      </c>
      <c r="L139" s="12"/>
      <c r="N139" s="15"/>
    </row>
    <row r="140" spans="1:14" s="8" customFormat="1" ht="26.25" customHeight="1" x14ac:dyDescent="0.25">
      <c r="A140" s="8" t="s">
        <v>370</v>
      </c>
      <c r="B140" s="8" t="s">
        <v>1319</v>
      </c>
      <c r="C140" s="9" t="s">
        <v>1130</v>
      </c>
      <c r="D140" s="9" t="s">
        <v>732</v>
      </c>
      <c r="E140" s="9" t="s">
        <v>737</v>
      </c>
      <c r="F140" s="9" t="s">
        <v>553</v>
      </c>
      <c r="G140" s="8">
        <v>15</v>
      </c>
      <c r="H140" s="237"/>
      <c r="I140" s="236">
        <f>Mat_Consum_Nun_e_Gomes[[#This Row],[VALOR UNID]]/6*(Mat_Consum_Dados[[#This Row],[QUANT ]])</f>
        <v>0</v>
      </c>
      <c r="J140" s="236">
        <f>Mat_Consum_Nun_e_Gomes[[#This Row],[VALOR MÊS]]*12</f>
        <v>0</v>
      </c>
      <c r="L140" s="12"/>
      <c r="N140" s="15"/>
    </row>
    <row r="141" spans="1:14" s="8" customFormat="1" ht="26.25" customHeight="1" x14ac:dyDescent="0.25">
      <c r="A141" s="8" t="s">
        <v>371</v>
      </c>
      <c r="B141" s="8" t="s">
        <v>1319</v>
      </c>
      <c r="C141" s="9" t="s">
        <v>1130</v>
      </c>
      <c r="D141" s="9" t="s">
        <v>732</v>
      </c>
      <c r="E141" s="9" t="s">
        <v>738</v>
      </c>
      <c r="F141" s="9" t="s">
        <v>553</v>
      </c>
      <c r="G141" s="8">
        <v>15</v>
      </c>
      <c r="H141" s="171"/>
      <c r="I141" s="15">
        <f>Mat_Consum_Nun_e_Gomes[[#This Row],[VALOR UNID]]/6*(Mat_Consum_Dados[[#This Row],[QUANT ]])</f>
        <v>0</v>
      </c>
      <c r="J141" s="15">
        <f>Mat_Consum_Nun_e_Gomes[[#This Row],[VALOR MÊS]]*12</f>
        <v>0</v>
      </c>
      <c r="L141" s="12"/>
      <c r="N141" s="15"/>
    </row>
    <row r="142" spans="1:14" s="8" customFormat="1" ht="26.25" customHeight="1" x14ac:dyDescent="0.25">
      <c r="A142" s="8" t="s">
        <v>372</v>
      </c>
      <c r="B142" s="8" t="s">
        <v>1319</v>
      </c>
      <c r="C142" s="9" t="s">
        <v>1130</v>
      </c>
      <c r="D142" s="9" t="s">
        <v>732</v>
      </c>
      <c r="E142" s="9" t="s">
        <v>739</v>
      </c>
      <c r="F142" s="9" t="s">
        <v>553</v>
      </c>
      <c r="G142" s="8">
        <v>15</v>
      </c>
      <c r="H142" s="237"/>
      <c r="I142" s="236">
        <f>Mat_Consum_Nun_e_Gomes[[#This Row],[VALOR UNID]]/6*(Mat_Consum_Dados[[#This Row],[QUANT ]])</f>
        <v>0</v>
      </c>
      <c r="J142" s="236">
        <f>Mat_Consum_Nun_e_Gomes[[#This Row],[VALOR MÊS]]*12</f>
        <v>0</v>
      </c>
      <c r="L142" s="12"/>
      <c r="N142" s="15"/>
    </row>
    <row r="143" spans="1:14" s="8" customFormat="1" ht="26.25" customHeight="1" x14ac:dyDescent="0.25">
      <c r="A143" s="8" t="s">
        <v>374</v>
      </c>
      <c r="B143" s="8" t="s">
        <v>1319</v>
      </c>
      <c r="C143" s="9" t="s">
        <v>1130</v>
      </c>
      <c r="D143" s="9" t="s">
        <v>732</v>
      </c>
      <c r="E143" s="9" t="s">
        <v>740</v>
      </c>
      <c r="F143" s="9" t="s">
        <v>553</v>
      </c>
      <c r="G143" s="8">
        <v>2</v>
      </c>
      <c r="H143" s="171"/>
      <c r="I143" s="15">
        <f>Mat_Consum_Nun_e_Gomes[[#This Row],[VALOR UNID]]/6*(Mat_Consum_Dados[[#This Row],[QUANT ]])</f>
        <v>0</v>
      </c>
      <c r="J143" s="15">
        <f>Mat_Consum_Nun_e_Gomes[[#This Row],[VALOR MÊS]]*12</f>
        <v>0</v>
      </c>
      <c r="L143" s="12"/>
      <c r="N143" s="15"/>
    </row>
    <row r="144" spans="1:14" s="8" customFormat="1" ht="26.25" customHeight="1" x14ac:dyDescent="0.25">
      <c r="A144" s="8" t="s">
        <v>376</v>
      </c>
      <c r="B144" s="8" t="s">
        <v>1319</v>
      </c>
      <c r="C144" s="9" t="s">
        <v>1130</v>
      </c>
      <c r="D144" s="9" t="s">
        <v>732</v>
      </c>
      <c r="E144" s="9" t="s">
        <v>741</v>
      </c>
      <c r="F144" s="9" t="s">
        <v>553</v>
      </c>
      <c r="G144" s="8">
        <v>2</v>
      </c>
      <c r="H144" s="237"/>
      <c r="I144" s="236">
        <f>Mat_Consum_Nun_e_Gomes[[#This Row],[VALOR UNID]]*Mat_Consum_Dados[[#This Row],[QUANT ]]</f>
        <v>0</v>
      </c>
      <c r="J144" s="236">
        <f>Mat_Consum_Nun_e_Gomes[[#This Row],[VALOR MÊS]]*12</f>
        <v>0</v>
      </c>
      <c r="L144" s="12"/>
      <c r="N144" s="15"/>
    </row>
    <row r="145" spans="1:14" s="8" customFormat="1" ht="26.25" customHeight="1" x14ac:dyDescent="0.25">
      <c r="A145" s="8" t="s">
        <v>378</v>
      </c>
      <c r="B145" s="8" t="s">
        <v>1319</v>
      </c>
      <c r="C145" s="9" t="s">
        <v>1130</v>
      </c>
      <c r="D145" s="9" t="s">
        <v>732</v>
      </c>
      <c r="E145" s="9" t="s">
        <v>742</v>
      </c>
      <c r="F145" s="9" t="s">
        <v>553</v>
      </c>
      <c r="G145" s="8">
        <v>2</v>
      </c>
      <c r="H145" s="171"/>
      <c r="I145" s="15">
        <f>Mat_Consum_Nun_e_Gomes[[#This Row],[VALOR UNID]]/6*(Mat_Consum_Dados[[#This Row],[QUANT ]])</f>
        <v>0</v>
      </c>
      <c r="J145" s="15">
        <f>Mat_Consum_Nun_e_Gomes[[#This Row],[VALOR MÊS]]*12</f>
        <v>0</v>
      </c>
      <c r="L145" s="12"/>
      <c r="N145" s="15"/>
    </row>
    <row r="146" spans="1:14" s="8" customFormat="1" ht="26.25" customHeight="1" x14ac:dyDescent="0.25">
      <c r="A146" s="8" t="s">
        <v>380</v>
      </c>
      <c r="B146" s="8" t="s">
        <v>1319</v>
      </c>
      <c r="C146" s="9" t="s">
        <v>1130</v>
      </c>
      <c r="D146" s="9" t="s">
        <v>732</v>
      </c>
      <c r="E146" s="9" t="s">
        <v>743</v>
      </c>
      <c r="F146" s="9" t="s">
        <v>553</v>
      </c>
      <c r="G146" s="8">
        <v>2</v>
      </c>
      <c r="H146" s="237"/>
      <c r="I146" s="236">
        <f>Mat_Consum_Nun_e_Gomes[[#This Row],[VALOR UNID]]/6*(Mat_Consum_Dados[[#This Row],[QUANT ]])</f>
        <v>0</v>
      </c>
      <c r="J146" s="236">
        <f>Mat_Consum_Nun_e_Gomes[[#This Row],[VALOR MÊS]]*12</f>
        <v>0</v>
      </c>
      <c r="L146" s="12"/>
      <c r="N146" s="15"/>
    </row>
    <row r="147" spans="1:14" s="8" customFormat="1" ht="26.25" customHeight="1" x14ac:dyDescent="0.25">
      <c r="C147" s="9"/>
      <c r="D147" s="9"/>
      <c r="E147" s="9"/>
      <c r="F147" s="9"/>
      <c r="G147" s="8">
        <f>SUBTOTAL(109,G4:G146)</f>
        <v>32748</v>
      </c>
      <c r="H147" s="26"/>
      <c r="I147" s="26">
        <f>SUBTOTAL(109,I4:I146)</f>
        <v>0</v>
      </c>
      <c r="J147" s="26">
        <f>SUBTOTAL(109,J4:J146)</f>
        <v>0</v>
      </c>
      <c r="L147" s="12"/>
      <c r="N147" s="15"/>
    </row>
    <row r="148" spans="1:14" s="8" customFormat="1" ht="26.25" customHeight="1" x14ac:dyDescent="0.25">
      <c r="A148" s="3"/>
      <c r="B148" s="3"/>
      <c r="C148" s="290"/>
      <c r="D148" s="290"/>
      <c r="E148" s="290"/>
      <c r="F148" s="290"/>
      <c r="G148" s="290"/>
      <c r="H148" s="3"/>
      <c r="I148" s="3"/>
      <c r="J148" s="3"/>
      <c r="L148" s="12"/>
      <c r="N148" s="15"/>
    </row>
    <row r="149" spans="1:14" s="8" customFormat="1" ht="26.25" customHeight="1" x14ac:dyDescent="0.25">
      <c r="A149" s="3"/>
      <c r="B149" s="3"/>
      <c r="C149" s="290"/>
      <c r="D149" s="290"/>
      <c r="E149" s="290"/>
      <c r="F149" s="290"/>
      <c r="G149" s="290"/>
      <c r="H149" s="3"/>
      <c r="I149" s="3"/>
      <c r="J149" s="3"/>
      <c r="L149" s="12"/>
      <c r="N149" s="15"/>
    </row>
    <row r="150" spans="1:14" s="8" customFormat="1" ht="26.25" customHeight="1" x14ac:dyDescent="0.25">
      <c r="A150" s="3"/>
      <c r="B150" s="3"/>
      <c r="C150" s="290"/>
      <c r="D150" s="290"/>
      <c r="E150" s="290"/>
      <c r="F150" s="290"/>
      <c r="G150" s="290"/>
      <c r="H150" s="3"/>
      <c r="I150" s="3"/>
      <c r="J150" s="3"/>
      <c r="L150" s="12"/>
      <c r="N150" s="15"/>
    </row>
    <row r="151" spans="1:14" s="8" customFormat="1" ht="26.25" customHeight="1" x14ac:dyDescent="0.25">
      <c r="A151" s="3"/>
      <c r="B151" s="3"/>
      <c r="C151" s="290"/>
      <c r="D151" s="290"/>
      <c r="E151" s="290"/>
      <c r="F151" s="290"/>
      <c r="G151" s="290"/>
      <c r="H151" s="3"/>
      <c r="I151" s="3"/>
      <c r="J151" s="3"/>
      <c r="L151" s="12"/>
      <c r="N151" s="15"/>
    </row>
    <row r="152" spans="1:14" s="8" customFormat="1" ht="26.25" customHeight="1" x14ac:dyDescent="0.25">
      <c r="A152" s="3"/>
      <c r="B152" s="3"/>
      <c r="C152" s="10"/>
      <c r="D152" s="10"/>
      <c r="E152" s="10"/>
      <c r="F152" s="10"/>
      <c r="G152" s="3"/>
      <c r="H152" s="3"/>
      <c r="I152" s="3"/>
      <c r="J152" s="3"/>
      <c r="L152" s="12"/>
      <c r="N152" s="15"/>
    </row>
    <row r="153" spans="1:14" s="8" customFormat="1" ht="26.25" customHeight="1" x14ac:dyDescent="0.25">
      <c r="A153" s="3"/>
      <c r="B153" s="3"/>
      <c r="C153" s="10"/>
      <c r="D153" s="10"/>
      <c r="E153" s="10"/>
      <c r="F153" s="10"/>
      <c r="G153" s="3"/>
      <c r="H153" s="3"/>
      <c r="I153" s="3"/>
      <c r="J153" s="3"/>
      <c r="L153" s="12"/>
      <c r="N153" s="15"/>
    </row>
    <row r="154" spans="1:14" s="8" customFormat="1" ht="26.25" customHeight="1" x14ac:dyDescent="0.25">
      <c r="A154" s="3"/>
      <c r="B154" s="3"/>
      <c r="C154" s="10"/>
      <c r="D154" s="10"/>
      <c r="E154" s="10"/>
      <c r="F154" s="10"/>
      <c r="G154" s="3"/>
      <c r="H154" s="3"/>
      <c r="I154" s="3"/>
      <c r="J154" s="3"/>
      <c r="L154" s="12"/>
      <c r="N154" s="15"/>
    </row>
    <row r="155" spans="1:14" s="8" customFormat="1" ht="26.25" customHeight="1" x14ac:dyDescent="0.25">
      <c r="A155" s="3"/>
      <c r="B155" s="3"/>
      <c r="C155" s="10"/>
      <c r="D155" s="10"/>
      <c r="E155" s="10"/>
      <c r="F155" s="10"/>
      <c r="G155" s="3"/>
      <c r="H155" s="3"/>
      <c r="I155" s="3"/>
      <c r="J155" s="3"/>
      <c r="L155" s="12"/>
      <c r="N155" s="15"/>
    </row>
    <row r="156" spans="1:14" s="8" customFormat="1" x14ac:dyDescent="0.25">
      <c r="A156" s="3"/>
      <c r="B156" s="3"/>
      <c r="C156" s="10"/>
      <c r="D156" s="10"/>
      <c r="E156" s="10"/>
      <c r="F156" s="10"/>
      <c r="G156" s="3"/>
      <c r="H156" s="3"/>
      <c r="I156" s="3"/>
      <c r="J156" s="3"/>
      <c r="L156" s="49"/>
      <c r="N156" s="15"/>
    </row>
    <row r="157" spans="1:14" s="8" customFormat="1" x14ac:dyDescent="0.25">
      <c r="A157" s="3"/>
      <c r="B157" s="3"/>
      <c r="C157" s="10"/>
      <c r="D157" s="10"/>
      <c r="E157" s="10"/>
      <c r="F157" s="10"/>
      <c r="G157" s="3"/>
      <c r="H157" s="3"/>
      <c r="I157" s="3"/>
      <c r="J157" s="3"/>
      <c r="L157" s="3"/>
      <c r="N157" s="15"/>
    </row>
    <row r="158" spans="1:14" s="8" customFormat="1" x14ac:dyDescent="0.25">
      <c r="A158" s="3"/>
      <c r="B158" s="3"/>
      <c r="C158" s="10"/>
      <c r="D158" s="10"/>
      <c r="E158" s="10"/>
      <c r="F158" s="10"/>
      <c r="G158" s="3"/>
      <c r="H158" s="3"/>
      <c r="I158" s="3"/>
      <c r="J158" s="3"/>
      <c r="L158" s="3"/>
      <c r="N158" s="15"/>
    </row>
    <row r="159" spans="1:14" s="8" customFormat="1" x14ac:dyDescent="0.25">
      <c r="A159" s="3"/>
      <c r="B159" s="3"/>
      <c r="C159" s="10"/>
      <c r="D159" s="10"/>
      <c r="E159" s="10"/>
      <c r="F159" s="10"/>
      <c r="G159" s="3"/>
      <c r="H159" s="3"/>
      <c r="I159" s="3"/>
      <c r="J159" s="3"/>
      <c r="L159" s="3"/>
      <c r="N159" s="15"/>
    </row>
    <row r="160" spans="1:14" s="8" customFormat="1" x14ac:dyDescent="0.25">
      <c r="A160" s="3"/>
      <c r="B160" s="3"/>
      <c r="C160" s="10"/>
      <c r="D160" s="10"/>
      <c r="E160" s="10"/>
      <c r="F160" s="10"/>
      <c r="G160" s="3"/>
      <c r="H160" s="3"/>
      <c r="I160" s="3"/>
      <c r="J160" s="3"/>
      <c r="L160" s="3"/>
      <c r="N160" s="15"/>
    </row>
    <row r="161" spans="1:14" s="8" customFormat="1" x14ac:dyDescent="0.25">
      <c r="A161" s="3"/>
      <c r="B161" s="3"/>
      <c r="C161" s="10"/>
      <c r="D161" s="10"/>
      <c r="E161" s="10"/>
      <c r="F161" s="10"/>
      <c r="G161" s="3"/>
      <c r="H161" s="3"/>
      <c r="I161" s="3"/>
      <c r="J161" s="3"/>
      <c r="L161" s="3"/>
      <c r="N161" s="15"/>
    </row>
    <row r="162" spans="1:14" s="8" customFormat="1" x14ac:dyDescent="0.25">
      <c r="A162" s="3"/>
      <c r="B162" s="3"/>
      <c r="C162" s="10"/>
      <c r="D162" s="10"/>
      <c r="E162" s="10"/>
      <c r="F162" s="10"/>
      <c r="G162" s="3"/>
      <c r="H162" s="3"/>
      <c r="I162" s="3"/>
      <c r="J162" s="3"/>
      <c r="L162" s="3"/>
      <c r="N162" s="15"/>
    </row>
    <row r="163" spans="1:14" s="8" customFormat="1" x14ac:dyDescent="0.25">
      <c r="A163" s="3"/>
      <c r="B163" s="3"/>
      <c r="C163" s="10"/>
      <c r="D163" s="10"/>
      <c r="E163" s="10"/>
      <c r="F163" s="10"/>
      <c r="G163" s="3"/>
      <c r="H163" s="3"/>
      <c r="I163" s="3"/>
      <c r="J163" s="3"/>
      <c r="L163" s="3"/>
      <c r="N163" s="15"/>
    </row>
    <row r="164" spans="1:14" s="8" customFormat="1" x14ac:dyDescent="0.25">
      <c r="A164" s="3"/>
      <c r="B164" s="3"/>
      <c r="C164" s="10"/>
      <c r="D164" s="10"/>
      <c r="E164" s="10"/>
      <c r="F164" s="10"/>
      <c r="G164" s="3"/>
      <c r="H164" s="3"/>
      <c r="I164" s="3"/>
      <c r="J164" s="3"/>
      <c r="L164" s="3"/>
      <c r="N164" s="15"/>
    </row>
    <row r="165" spans="1:14" s="8" customFormat="1" x14ac:dyDescent="0.25">
      <c r="A165" s="3"/>
      <c r="B165" s="3"/>
      <c r="C165" s="10"/>
      <c r="D165" s="10"/>
      <c r="E165" s="10"/>
      <c r="F165" s="10"/>
      <c r="G165" s="3"/>
      <c r="H165" s="3"/>
      <c r="I165" s="3"/>
      <c r="J165" s="3"/>
      <c r="L165" s="3"/>
      <c r="N165" s="15"/>
    </row>
    <row r="166" spans="1:14" s="8" customFormat="1" x14ac:dyDescent="0.25">
      <c r="A166" s="3"/>
      <c r="B166" s="3"/>
      <c r="C166" s="10"/>
      <c r="D166" s="10"/>
      <c r="E166" s="10"/>
      <c r="F166" s="10"/>
      <c r="G166" s="3"/>
      <c r="H166" s="3"/>
      <c r="I166" s="3"/>
      <c r="J166" s="3"/>
      <c r="L166" s="3"/>
      <c r="N166" s="15"/>
    </row>
    <row r="167" spans="1:14" s="8" customFormat="1" x14ac:dyDescent="0.25">
      <c r="A167" s="3"/>
      <c r="B167" s="3"/>
      <c r="C167" s="10"/>
      <c r="D167" s="10"/>
      <c r="E167" s="10"/>
      <c r="F167" s="10"/>
      <c r="G167" s="3"/>
      <c r="H167" s="3"/>
      <c r="I167" s="3"/>
      <c r="J167" s="3"/>
      <c r="L167" s="3"/>
      <c r="N167" s="15"/>
    </row>
    <row r="168" spans="1:14" s="8" customFormat="1" x14ac:dyDescent="0.25">
      <c r="A168" s="3"/>
      <c r="B168" s="3"/>
      <c r="C168" s="10"/>
      <c r="D168" s="10"/>
      <c r="E168" s="10"/>
      <c r="F168" s="10"/>
      <c r="G168" s="3"/>
      <c r="H168" s="3"/>
      <c r="I168" s="3"/>
      <c r="J168" s="3"/>
      <c r="L168" s="3"/>
      <c r="N168" s="15"/>
    </row>
    <row r="169" spans="1:14" s="8" customFormat="1" x14ac:dyDescent="0.25">
      <c r="A169" s="3"/>
      <c r="B169" s="3"/>
      <c r="C169" s="10"/>
      <c r="D169" s="10"/>
      <c r="E169" s="10"/>
      <c r="F169" s="10"/>
      <c r="G169" s="3"/>
      <c r="H169" s="3"/>
      <c r="I169" s="3"/>
      <c r="J169" s="3"/>
      <c r="L169" s="3"/>
      <c r="N169" s="15"/>
    </row>
    <row r="170" spans="1:14" s="8" customFormat="1" x14ac:dyDescent="0.25">
      <c r="A170" s="3"/>
      <c r="B170" s="3"/>
      <c r="C170" s="10"/>
      <c r="D170" s="10"/>
      <c r="E170" s="10"/>
      <c r="F170" s="10"/>
      <c r="G170" s="3"/>
      <c r="H170" s="3"/>
      <c r="I170" s="3"/>
      <c r="J170" s="3"/>
      <c r="L170" s="3"/>
      <c r="N170" s="15"/>
    </row>
    <row r="171" spans="1:14" s="8" customFormat="1" x14ac:dyDescent="0.25">
      <c r="A171" s="3"/>
      <c r="B171" s="3"/>
      <c r="C171" s="10"/>
      <c r="D171" s="10"/>
      <c r="E171" s="10"/>
      <c r="F171" s="10"/>
      <c r="G171" s="3"/>
      <c r="H171" s="3"/>
      <c r="I171" s="3"/>
      <c r="J171" s="3"/>
      <c r="L171" s="3"/>
      <c r="N171" s="15"/>
    </row>
    <row r="172" spans="1:14" s="8" customFormat="1" x14ac:dyDescent="0.25">
      <c r="A172" s="3"/>
      <c r="B172" s="3"/>
      <c r="C172" s="10"/>
      <c r="D172" s="10"/>
      <c r="E172" s="10"/>
      <c r="F172" s="10"/>
      <c r="G172" s="3"/>
      <c r="H172" s="3"/>
      <c r="I172" s="3"/>
      <c r="J172" s="3"/>
      <c r="L172" s="3"/>
      <c r="N172" s="15"/>
    </row>
    <row r="173" spans="1:14" s="8" customFormat="1" x14ac:dyDescent="0.25">
      <c r="A173" s="3"/>
      <c r="B173" s="3"/>
      <c r="C173" s="10"/>
      <c r="D173" s="10"/>
      <c r="E173" s="10"/>
      <c r="F173" s="10"/>
      <c r="G173" s="3"/>
      <c r="H173" s="3"/>
      <c r="I173" s="3"/>
      <c r="J173" s="3"/>
      <c r="L173" s="3"/>
      <c r="N173" s="15"/>
    </row>
    <row r="174" spans="1:14" s="8" customFormat="1" x14ac:dyDescent="0.25">
      <c r="A174" s="3"/>
      <c r="B174" s="3"/>
      <c r="C174" s="10"/>
      <c r="D174" s="10"/>
      <c r="E174" s="10"/>
      <c r="F174" s="10"/>
      <c r="G174" s="3"/>
      <c r="H174" s="3"/>
      <c r="I174" s="3"/>
      <c r="J174" s="3"/>
      <c r="L174" s="3"/>
      <c r="N174" s="15"/>
    </row>
    <row r="175" spans="1:14" s="8" customFormat="1" x14ac:dyDescent="0.25">
      <c r="A175" s="3"/>
      <c r="B175" s="3"/>
      <c r="C175" s="10"/>
      <c r="D175" s="10"/>
      <c r="E175" s="10"/>
      <c r="F175" s="10"/>
      <c r="G175" s="3"/>
      <c r="H175" s="3"/>
      <c r="I175" s="3"/>
      <c r="J175" s="3"/>
      <c r="L175" s="3"/>
      <c r="N175" s="15"/>
    </row>
    <row r="176" spans="1:14" s="8" customFormat="1" x14ac:dyDescent="0.25">
      <c r="A176" s="3"/>
      <c r="B176" s="3"/>
      <c r="C176" s="10"/>
      <c r="D176" s="10"/>
      <c r="E176" s="10"/>
      <c r="F176" s="10"/>
      <c r="G176" s="3"/>
      <c r="H176" s="3"/>
      <c r="I176" s="3"/>
      <c r="J176" s="3"/>
      <c r="L176" s="3"/>
      <c r="N176" s="15"/>
    </row>
    <row r="177" spans="1:14" s="8" customFormat="1" x14ac:dyDescent="0.25">
      <c r="A177" s="3"/>
      <c r="B177" s="3"/>
      <c r="C177" s="10"/>
      <c r="D177" s="10"/>
      <c r="E177" s="10"/>
      <c r="F177" s="10"/>
      <c r="G177" s="3"/>
      <c r="H177" s="3"/>
      <c r="I177" s="3"/>
      <c r="J177" s="3"/>
      <c r="L177" s="3"/>
      <c r="N177" s="15"/>
    </row>
    <row r="178" spans="1:14" s="8" customFormat="1" x14ac:dyDescent="0.25">
      <c r="A178" s="3"/>
      <c r="B178" s="3"/>
      <c r="C178" s="10"/>
      <c r="D178" s="10"/>
      <c r="E178" s="10"/>
      <c r="F178" s="10"/>
      <c r="G178" s="3"/>
      <c r="H178" s="3"/>
      <c r="I178" s="3"/>
      <c r="J178" s="3"/>
      <c r="L178" s="3"/>
      <c r="N178" s="15"/>
    </row>
    <row r="179" spans="1:14" s="8" customFormat="1" x14ac:dyDescent="0.25">
      <c r="A179" s="3"/>
      <c r="B179" s="3"/>
      <c r="C179" s="10"/>
      <c r="D179" s="10"/>
      <c r="E179" s="10"/>
      <c r="F179" s="10"/>
      <c r="G179" s="3"/>
      <c r="H179" s="3"/>
      <c r="I179" s="3"/>
      <c r="J179" s="3"/>
      <c r="L179" s="3"/>
      <c r="N179" s="15"/>
    </row>
    <row r="180" spans="1:14" s="8" customFormat="1" x14ac:dyDescent="0.25">
      <c r="A180" s="3"/>
      <c r="B180" s="3"/>
      <c r="C180" s="10"/>
      <c r="D180" s="10"/>
      <c r="E180" s="10"/>
      <c r="F180" s="10"/>
      <c r="G180" s="3"/>
      <c r="H180" s="3"/>
      <c r="I180" s="3"/>
      <c r="J180" s="3"/>
      <c r="L180" s="3"/>
      <c r="N180" s="15"/>
    </row>
    <row r="181" spans="1:14" s="8" customFormat="1" x14ac:dyDescent="0.25">
      <c r="A181" s="3"/>
      <c r="B181" s="3"/>
      <c r="C181" s="10"/>
      <c r="D181" s="10"/>
      <c r="E181" s="10"/>
      <c r="F181" s="10"/>
      <c r="G181" s="3"/>
      <c r="H181" s="3"/>
      <c r="I181" s="3"/>
      <c r="J181" s="3"/>
      <c r="L181" s="3"/>
      <c r="N181" s="15"/>
    </row>
    <row r="182" spans="1:14" s="8" customFormat="1" x14ac:dyDescent="0.25">
      <c r="A182" s="3"/>
      <c r="B182" s="3"/>
      <c r="C182" s="10"/>
      <c r="D182" s="10"/>
      <c r="E182" s="10"/>
      <c r="F182" s="10"/>
      <c r="G182" s="3"/>
      <c r="H182" s="3"/>
      <c r="I182" s="3"/>
      <c r="J182" s="3"/>
      <c r="L182" s="3"/>
      <c r="N182" s="15"/>
    </row>
    <row r="183" spans="1:14" s="8" customFormat="1" x14ac:dyDescent="0.25">
      <c r="A183" s="3"/>
      <c r="B183" s="3"/>
      <c r="C183" s="10"/>
      <c r="D183" s="10"/>
      <c r="E183" s="10"/>
      <c r="F183" s="10"/>
      <c r="G183" s="3"/>
      <c r="H183" s="3"/>
      <c r="I183" s="3"/>
      <c r="J183" s="3"/>
      <c r="L183" s="3"/>
      <c r="N183" s="15"/>
    </row>
    <row r="184" spans="1:14" s="8" customFormat="1" x14ac:dyDescent="0.25">
      <c r="A184" s="3"/>
      <c r="B184" s="3"/>
      <c r="C184" s="10"/>
      <c r="D184" s="10"/>
      <c r="E184" s="10"/>
      <c r="F184" s="10"/>
      <c r="G184" s="3"/>
      <c r="H184" s="3"/>
      <c r="I184" s="3"/>
      <c r="J184" s="3"/>
      <c r="L184" s="3"/>
      <c r="N184" s="15"/>
    </row>
    <row r="185" spans="1:14" s="8" customFormat="1" x14ac:dyDescent="0.25">
      <c r="A185" s="3"/>
      <c r="B185" s="3"/>
      <c r="C185" s="10"/>
      <c r="D185" s="10"/>
      <c r="E185" s="10"/>
      <c r="F185" s="10"/>
      <c r="G185" s="3"/>
      <c r="H185" s="3"/>
      <c r="I185" s="3"/>
      <c r="J185" s="3"/>
      <c r="L185" s="3"/>
      <c r="N185" s="15"/>
    </row>
    <row r="186" spans="1:14" s="8" customFormat="1" x14ac:dyDescent="0.25">
      <c r="A186" s="3"/>
      <c r="B186" s="3"/>
      <c r="C186" s="10"/>
      <c r="D186" s="10"/>
      <c r="E186" s="10"/>
      <c r="F186" s="10"/>
      <c r="G186" s="3"/>
      <c r="H186" s="3"/>
      <c r="I186" s="3"/>
      <c r="J186" s="3"/>
      <c r="L186" s="3"/>
      <c r="N186" s="15"/>
    </row>
    <row r="187" spans="1:14" s="8" customFormat="1" x14ac:dyDescent="0.25">
      <c r="A187" s="3"/>
      <c r="B187" s="3"/>
      <c r="C187" s="10"/>
      <c r="D187" s="10"/>
      <c r="E187" s="10"/>
      <c r="F187" s="10"/>
      <c r="G187" s="3"/>
      <c r="H187" s="3"/>
      <c r="I187" s="3"/>
      <c r="J187" s="3"/>
      <c r="L187" s="3"/>
      <c r="N187" s="15"/>
    </row>
    <row r="188" spans="1:14" s="8" customFormat="1" x14ac:dyDescent="0.25">
      <c r="A188" s="3"/>
      <c r="B188" s="3"/>
      <c r="C188" s="10"/>
      <c r="D188" s="10"/>
      <c r="E188" s="10"/>
      <c r="F188" s="10"/>
      <c r="G188" s="3"/>
      <c r="H188" s="3"/>
      <c r="I188" s="3"/>
      <c r="J188" s="3"/>
      <c r="L188" s="3"/>
      <c r="N188" s="15"/>
    </row>
    <row r="189" spans="1:14" s="8" customFormat="1" x14ac:dyDescent="0.25">
      <c r="A189" s="3"/>
      <c r="B189" s="3"/>
      <c r="C189" s="10"/>
      <c r="D189" s="10"/>
      <c r="E189" s="10"/>
      <c r="F189" s="10"/>
      <c r="G189" s="3"/>
      <c r="H189" s="3"/>
      <c r="I189" s="3"/>
      <c r="J189" s="3"/>
      <c r="L189" s="3"/>
      <c r="N189" s="15"/>
    </row>
    <row r="190" spans="1:14" s="8" customFormat="1" x14ac:dyDescent="0.25">
      <c r="A190" s="3"/>
      <c r="B190" s="3"/>
      <c r="C190" s="10"/>
      <c r="D190" s="10"/>
      <c r="E190" s="10"/>
      <c r="F190" s="10"/>
      <c r="G190" s="3"/>
      <c r="H190" s="3"/>
      <c r="I190" s="3"/>
      <c r="J190" s="3"/>
      <c r="L190" s="3"/>
      <c r="N190" s="15"/>
    </row>
    <row r="191" spans="1:14" s="8" customFormat="1" x14ac:dyDescent="0.25">
      <c r="A191" s="3"/>
      <c r="B191" s="3"/>
      <c r="C191" s="10"/>
      <c r="D191" s="10"/>
      <c r="E191" s="10"/>
      <c r="F191" s="10"/>
      <c r="G191" s="3"/>
      <c r="H191" s="3"/>
      <c r="I191" s="3"/>
      <c r="J191" s="3"/>
      <c r="L191" s="3"/>
      <c r="N191" s="15"/>
    </row>
    <row r="192" spans="1:14" s="8" customFormat="1" x14ac:dyDescent="0.25">
      <c r="A192" s="3"/>
      <c r="B192" s="3"/>
      <c r="C192" s="10"/>
      <c r="D192" s="10"/>
      <c r="E192" s="10"/>
      <c r="F192" s="10"/>
      <c r="G192" s="3"/>
      <c r="H192" s="3"/>
      <c r="I192" s="3"/>
      <c r="J192" s="3"/>
      <c r="L192" s="3"/>
      <c r="N192" s="15"/>
    </row>
    <row r="193" spans="1:14" s="8" customFormat="1" x14ac:dyDescent="0.25">
      <c r="A193" s="3"/>
      <c r="B193" s="3"/>
      <c r="C193" s="10"/>
      <c r="D193" s="10"/>
      <c r="E193" s="10"/>
      <c r="F193" s="10"/>
      <c r="G193" s="3"/>
      <c r="H193" s="3"/>
      <c r="I193" s="3"/>
      <c r="J193" s="3"/>
      <c r="L193" s="3"/>
      <c r="N193" s="15"/>
    </row>
    <row r="194" spans="1:14" s="8" customFormat="1" x14ac:dyDescent="0.25">
      <c r="A194" s="3"/>
      <c r="B194" s="3"/>
      <c r="C194" s="10"/>
      <c r="D194" s="10"/>
      <c r="E194" s="10"/>
      <c r="F194" s="10"/>
      <c r="G194" s="3"/>
      <c r="H194" s="3"/>
      <c r="I194" s="3"/>
      <c r="J194" s="3"/>
      <c r="L194" s="3"/>
      <c r="N194" s="15"/>
    </row>
    <row r="195" spans="1:14" s="8" customFormat="1" x14ac:dyDescent="0.25">
      <c r="A195" s="3"/>
      <c r="B195" s="3"/>
      <c r="C195" s="10"/>
      <c r="D195" s="10"/>
      <c r="E195" s="10"/>
      <c r="F195" s="10"/>
      <c r="G195" s="3"/>
      <c r="H195" s="3"/>
      <c r="I195" s="3"/>
      <c r="J195" s="3"/>
      <c r="L195" s="3"/>
      <c r="N195" s="15"/>
    </row>
    <row r="196" spans="1:14" s="8" customFormat="1" x14ac:dyDescent="0.25">
      <c r="A196" s="3"/>
      <c r="B196" s="3"/>
      <c r="C196" s="10"/>
      <c r="D196" s="10"/>
      <c r="E196" s="10"/>
      <c r="F196" s="10"/>
      <c r="G196" s="3"/>
      <c r="H196" s="3"/>
      <c r="I196" s="3"/>
      <c r="J196" s="3"/>
      <c r="L196" s="3"/>
      <c r="N196" s="15"/>
    </row>
    <row r="197" spans="1:14" s="8" customFormat="1" x14ac:dyDescent="0.25">
      <c r="A197" s="3"/>
      <c r="B197" s="3"/>
      <c r="C197" s="10"/>
      <c r="D197" s="10"/>
      <c r="E197" s="10"/>
      <c r="F197" s="10"/>
      <c r="G197" s="3"/>
      <c r="H197" s="3"/>
      <c r="I197" s="3"/>
      <c r="J197" s="3"/>
      <c r="L197" s="3"/>
      <c r="N197" s="15"/>
    </row>
    <row r="198" spans="1:14" s="8" customFormat="1" x14ac:dyDescent="0.25">
      <c r="A198" s="3"/>
      <c r="B198" s="3"/>
      <c r="C198" s="10"/>
      <c r="D198" s="10"/>
      <c r="E198" s="10"/>
      <c r="F198" s="10"/>
      <c r="G198" s="3"/>
      <c r="H198" s="3"/>
      <c r="I198" s="3"/>
      <c r="J198" s="3"/>
      <c r="L198" s="3"/>
      <c r="N198" s="15"/>
    </row>
    <row r="199" spans="1:14" s="8" customFormat="1" x14ac:dyDescent="0.25">
      <c r="A199" s="3"/>
      <c r="B199" s="3"/>
      <c r="C199" s="10"/>
      <c r="D199" s="10"/>
      <c r="E199" s="10"/>
      <c r="F199" s="10"/>
      <c r="G199" s="3"/>
      <c r="H199" s="3"/>
      <c r="I199" s="3"/>
      <c r="J199" s="3"/>
      <c r="L199" s="3"/>
      <c r="N199" s="15"/>
    </row>
    <row r="200" spans="1:14" s="8" customFormat="1" x14ac:dyDescent="0.25">
      <c r="A200" s="3"/>
      <c r="B200" s="3"/>
      <c r="C200" s="10"/>
      <c r="D200" s="10"/>
      <c r="E200" s="10"/>
      <c r="F200" s="10"/>
      <c r="G200" s="3"/>
      <c r="H200" s="3"/>
      <c r="I200" s="3"/>
      <c r="J200" s="3"/>
      <c r="L200" s="3"/>
      <c r="N200" s="15"/>
    </row>
    <row r="201" spans="1:14" s="8" customFormat="1" x14ac:dyDescent="0.25">
      <c r="A201" s="3"/>
      <c r="B201" s="3"/>
      <c r="C201" s="10"/>
      <c r="D201" s="10"/>
      <c r="E201" s="10"/>
      <c r="F201" s="10"/>
      <c r="G201" s="3"/>
      <c r="H201" s="3"/>
      <c r="I201" s="3"/>
      <c r="J201" s="3"/>
      <c r="L201" s="3"/>
      <c r="N201" s="15"/>
    </row>
    <row r="202" spans="1:14" s="8" customFormat="1" x14ac:dyDescent="0.25">
      <c r="A202" s="3"/>
      <c r="B202" s="3"/>
      <c r="C202" s="10"/>
      <c r="D202" s="10"/>
      <c r="E202" s="10"/>
      <c r="F202" s="10"/>
      <c r="G202" s="3"/>
      <c r="H202" s="3"/>
      <c r="I202" s="3"/>
      <c r="J202" s="3"/>
      <c r="L202" s="3"/>
      <c r="N202" s="16"/>
    </row>
    <row r="203" spans="1:14" s="8" customFormat="1" x14ac:dyDescent="0.25">
      <c r="A203" s="3"/>
      <c r="B203" s="3"/>
      <c r="C203" s="10"/>
      <c r="D203" s="10"/>
      <c r="E203" s="10"/>
      <c r="F203" s="10"/>
      <c r="G203" s="3"/>
      <c r="H203" s="3"/>
      <c r="I203" s="3"/>
      <c r="J203" s="3"/>
      <c r="L203" s="3"/>
      <c r="N203" s="3"/>
    </row>
    <row r="204" spans="1:14" s="8" customFormat="1" x14ac:dyDescent="0.25">
      <c r="A204" s="3"/>
      <c r="B204" s="3"/>
      <c r="C204" s="10"/>
      <c r="D204" s="10"/>
      <c r="E204" s="10"/>
      <c r="F204" s="10"/>
      <c r="G204" s="3"/>
      <c r="H204" s="3"/>
      <c r="I204" s="3"/>
      <c r="J204" s="3"/>
      <c r="L204" s="3"/>
      <c r="N204" s="3"/>
    </row>
    <row r="205" spans="1:14" s="8" customFormat="1" x14ac:dyDescent="0.25">
      <c r="A205" s="3"/>
      <c r="B205" s="3"/>
      <c r="C205" s="10"/>
      <c r="D205" s="10"/>
      <c r="E205" s="10"/>
      <c r="F205" s="10"/>
      <c r="G205" s="3"/>
      <c r="H205" s="3"/>
      <c r="I205" s="3"/>
      <c r="J205" s="3"/>
      <c r="L205" s="3"/>
      <c r="N205" s="3"/>
    </row>
    <row r="206" spans="1:14" s="8" customFormat="1" x14ac:dyDescent="0.25">
      <c r="A206" s="3"/>
      <c r="B206" s="3"/>
      <c r="C206" s="10"/>
      <c r="D206" s="10"/>
      <c r="E206" s="10"/>
      <c r="F206" s="10"/>
      <c r="G206" s="3"/>
      <c r="H206" s="3"/>
      <c r="I206" s="3"/>
      <c r="J206" s="3"/>
      <c r="L206" s="3"/>
      <c r="N206" s="3"/>
    </row>
    <row r="207" spans="1:14" s="8" customFormat="1" x14ac:dyDescent="0.25">
      <c r="A207" s="3"/>
      <c r="B207" s="3"/>
      <c r="C207" s="10"/>
      <c r="D207" s="10"/>
      <c r="E207" s="10"/>
      <c r="F207" s="10"/>
      <c r="G207" s="3"/>
      <c r="H207" s="3"/>
      <c r="I207" s="3"/>
      <c r="J207" s="3"/>
      <c r="L207" s="3"/>
      <c r="N207" s="3"/>
    </row>
    <row r="208" spans="1:14" s="8" customFormat="1" x14ac:dyDescent="0.25">
      <c r="A208" s="3"/>
      <c r="B208" s="3"/>
      <c r="C208" s="10"/>
      <c r="D208" s="10"/>
      <c r="E208" s="10"/>
      <c r="F208" s="10"/>
      <c r="G208" s="3"/>
      <c r="H208" s="3"/>
      <c r="I208" s="3"/>
      <c r="J208" s="3"/>
      <c r="L208" s="3"/>
      <c r="N208" s="3"/>
    </row>
    <row r="209" spans="1:14" s="8" customFormat="1" x14ac:dyDescent="0.25">
      <c r="A209" s="3"/>
      <c r="B209" s="3"/>
      <c r="C209" s="10"/>
      <c r="D209" s="10"/>
      <c r="E209" s="10"/>
      <c r="F209" s="10"/>
      <c r="G209" s="3"/>
      <c r="H209" s="3"/>
      <c r="I209" s="3"/>
      <c r="J209" s="3"/>
      <c r="L209" s="3"/>
      <c r="N209" s="3"/>
    </row>
    <row r="210" spans="1:14" s="8" customFormat="1" x14ac:dyDescent="0.25">
      <c r="A210" s="3"/>
      <c r="B210" s="3"/>
      <c r="C210" s="10"/>
      <c r="D210" s="10"/>
      <c r="E210" s="10"/>
      <c r="F210" s="10"/>
      <c r="G210" s="3"/>
      <c r="H210" s="3"/>
      <c r="I210" s="3"/>
      <c r="J210" s="3"/>
      <c r="L210" s="3"/>
      <c r="N210" s="3"/>
    </row>
    <row r="211" spans="1:14" s="8" customFormat="1" x14ac:dyDescent="0.25">
      <c r="A211" s="3"/>
      <c r="B211" s="3"/>
      <c r="C211" s="10"/>
      <c r="D211" s="10"/>
      <c r="E211" s="10"/>
      <c r="F211" s="10"/>
      <c r="G211" s="3"/>
      <c r="H211" s="3"/>
      <c r="I211" s="3"/>
      <c r="J211" s="3"/>
      <c r="L211" s="3"/>
      <c r="N211" s="3"/>
    </row>
    <row r="212" spans="1:14" s="8" customFormat="1" x14ac:dyDescent="0.25">
      <c r="A212" s="3"/>
      <c r="B212" s="3"/>
      <c r="C212" s="10"/>
      <c r="D212" s="10"/>
      <c r="E212" s="10"/>
      <c r="F212" s="10"/>
      <c r="G212" s="3"/>
      <c r="H212" s="3"/>
      <c r="I212" s="3"/>
      <c r="J212" s="3"/>
      <c r="L212" s="3"/>
      <c r="N212" s="3"/>
    </row>
    <row r="213" spans="1:14" s="8" customFormat="1" x14ac:dyDescent="0.25">
      <c r="A213" s="3"/>
      <c r="B213" s="3"/>
      <c r="C213" s="10"/>
      <c r="D213" s="10"/>
      <c r="E213" s="10"/>
      <c r="F213" s="10"/>
      <c r="G213" s="3"/>
      <c r="H213" s="3"/>
      <c r="I213" s="3"/>
      <c r="J213" s="3"/>
      <c r="L213" s="3"/>
      <c r="N213" s="3"/>
    </row>
    <row r="214" spans="1:14" s="8" customFormat="1" x14ac:dyDescent="0.25">
      <c r="A214" s="3"/>
      <c r="B214" s="3"/>
      <c r="C214" s="10"/>
      <c r="D214" s="10"/>
      <c r="E214" s="10"/>
      <c r="F214" s="10"/>
      <c r="G214" s="3"/>
      <c r="H214" s="3"/>
      <c r="I214" s="3"/>
      <c r="J214" s="3"/>
      <c r="L214" s="3"/>
      <c r="N214" s="3"/>
    </row>
    <row r="215" spans="1:14" s="8" customFormat="1" x14ac:dyDescent="0.25">
      <c r="A215" s="3"/>
      <c r="B215" s="3"/>
      <c r="C215" s="10"/>
      <c r="D215" s="10"/>
      <c r="E215" s="10"/>
      <c r="F215" s="10"/>
      <c r="G215" s="3"/>
      <c r="H215" s="3"/>
      <c r="I215" s="3"/>
      <c r="J215" s="3"/>
      <c r="L215" s="3"/>
      <c r="N215" s="3"/>
    </row>
    <row r="216" spans="1:14" s="8" customFormat="1" x14ac:dyDescent="0.25">
      <c r="A216" s="3"/>
      <c r="B216" s="3"/>
      <c r="C216" s="10"/>
      <c r="D216" s="10"/>
      <c r="E216" s="10"/>
      <c r="F216" s="10"/>
      <c r="G216" s="3"/>
      <c r="H216" s="3"/>
      <c r="I216" s="3"/>
      <c r="J216" s="3"/>
      <c r="L216" s="3"/>
      <c r="N216" s="3"/>
    </row>
    <row r="217" spans="1:14" s="8" customFormat="1" x14ac:dyDescent="0.25">
      <c r="A217" s="3"/>
      <c r="B217" s="3"/>
      <c r="C217" s="10"/>
      <c r="D217" s="10"/>
      <c r="E217" s="10"/>
      <c r="F217" s="10"/>
      <c r="G217" s="3"/>
      <c r="H217" s="3"/>
      <c r="I217" s="3"/>
      <c r="J217" s="3"/>
      <c r="L217" s="3"/>
      <c r="N217" s="3"/>
    </row>
    <row r="218" spans="1:14" s="8" customFormat="1" x14ac:dyDescent="0.25">
      <c r="A218" s="3"/>
      <c r="B218" s="3"/>
      <c r="C218" s="10"/>
      <c r="D218" s="10"/>
      <c r="E218" s="10"/>
      <c r="F218" s="10"/>
      <c r="G218" s="3"/>
      <c r="H218" s="3"/>
      <c r="I218" s="3"/>
      <c r="J218" s="3"/>
      <c r="L218" s="3"/>
      <c r="N218" s="3"/>
    </row>
    <row r="219" spans="1:14" s="8" customFormat="1" x14ac:dyDescent="0.25">
      <c r="A219" s="3"/>
      <c r="B219" s="3"/>
      <c r="C219" s="10"/>
      <c r="D219" s="10"/>
      <c r="E219" s="10"/>
      <c r="F219" s="10"/>
      <c r="G219" s="3"/>
      <c r="H219" s="3"/>
      <c r="I219" s="3"/>
      <c r="J219" s="3"/>
      <c r="L219" s="3"/>
      <c r="N219" s="3"/>
    </row>
    <row r="220" spans="1:14" s="8" customFormat="1" x14ac:dyDescent="0.25">
      <c r="A220" s="3"/>
      <c r="B220" s="3"/>
      <c r="C220" s="10"/>
      <c r="D220" s="10"/>
      <c r="E220" s="10"/>
      <c r="F220" s="10"/>
      <c r="G220" s="3"/>
      <c r="H220" s="3"/>
      <c r="I220" s="3"/>
      <c r="J220" s="3"/>
      <c r="L220" s="3"/>
      <c r="N220" s="3"/>
    </row>
    <row r="221" spans="1:14" s="8" customFormat="1" x14ac:dyDescent="0.25">
      <c r="A221" s="3"/>
      <c r="B221" s="3"/>
      <c r="C221" s="10"/>
      <c r="D221" s="10"/>
      <c r="E221" s="10"/>
      <c r="F221" s="10"/>
      <c r="G221" s="3"/>
      <c r="H221" s="3"/>
      <c r="I221" s="3"/>
      <c r="J221" s="3"/>
      <c r="L221" s="3"/>
      <c r="N221" s="3"/>
    </row>
    <row r="222" spans="1:14" s="8" customFormat="1" x14ac:dyDescent="0.25">
      <c r="A222" s="3"/>
      <c r="B222" s="3"/>
      <c r="C222" s="10"/>
      <c r="D222" s="10"/>
      <c r="E222" s="10"/>
      <c r="F222" s="10"/>
      <c r="G222" s="3"/>
      <c r="H222" s="3"/>
      <c r="I222" s="3"/>
      <c r="J222" s="3"/>
      <c r="L222" s="3"/>
      <c r="N222" s="3"/>
    </row>
    <row r="223" spans="1:14" s="8" customFormat="1" x14ac:dyDescent="0.25">
      <c r="A223" s="3"/>
      <c r="B223" s="3"/>
      <c r="C223" s="10"/>
      <c r="D223" s="10"/>
      <c r="E223" s="10"/>
      <c r="F223" s="10"/>
      <c r="G223" s="3"/>
      <c r="H223" s="3"/>
      <c r="I223" s="3"/>
      <c r="J223" s="3"/>
      <c r="L223" s="3"/>
      <c r="N223" s="3"/>
    </row>
  </sheetData>
  <sheetProtection algorithmName="SHA-512" hashValue="Q6D2wQvlDu/NZ/lIFP2KysDDq1Qp2Uobt24v349CbEj1easBgxowta+1KbybD4uayLPxNGFe7qge3/pQwwfjCw==" saltValue="3XSuQB1t1FdqZxUNag1fqA==" spinCount="100000" sheet="1" objects="1" scenarios="1" selectLockedCells="1"/>
  <mergeCells count="2">
    <mergeCell ref="C148:G151"/>
    <mergeCell ref="A1:J2"/>
  </mergeCells>
  <dataValidations count="1">
    <dataValidation type="list" allowBlank="1" showInputMessage="1" showErrorMessage="1" sqref="B4:B146">
      <formula1>"Material Médico, Bens Duráveis, Reagentes, Saneantes"</formula1>
    </dataValidation>
  </dataValidations>
  <pageMargins left="3.2677165354330708" right="0.70866141732283472" top="0.74803149606299213" bottom="0.74803149606299213" header="0.31496062992125984" footer="0.31496062992125984"/>
  <pageSetup paperSize="8" orientation="landscape"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23"/>
  <sheetViews>
    <sheetView showGridLines="0" zoomScaleNormal="100" workbookViewId="0">
      <selection activeCell="D4" sqref="D4"/>
    </sheetView>
  </sheetViews>
  <sheetFormatPr defaultColWidth="8.85546875" defaultRowHeight="11.25" outlineLevelCol="1" x14ac:dyDescent="0.25"/>
  <cols>
    <col min="1" max="1" width="6.7109375" style="3" customWidth="1"/>
    <col min="2" max="2" width="69.28515625" style="10" customWidth="1"/>
    <col min="3" max="3" width="8.7109375" style="3" customWidth="1"/>
    <col min="4" max="4" width="16.7109375" style="131" customWidth="1"/>
    <col min="5" max="5" width="14.7109375" style="133" customWidth="1"/>
    <col min="6" max="6" width="15.7109375" style="133" customWidth="1"/>
    <col min="7" max="7" width="0.85546875" style="3" customWidth="1"/>
    <col min="8" max="8" width="8.85546875" style="3"/>
    <col min="9" max="12" width="8.85546875" style="3" hidden="1" customWidth="1" outlineLevel="1"/>
    <col min="13" max="13" width="8.85546875" style="3" collapsed="1"/>
    <col min="14" max="16384" width="8.85546875" style="3"/>
  </cols>
  <sheetData>
    <row r="1" spans="1:12" ht="11.25" customHeight="1" x14ac:dyDescent="0.25">
      <c r="A1" s="289" t="s">
        <v>1075</v>
      </c>
      <c r="B1" s="289"/>
      <c r="C1" s="289"/>
      <c r="D1" s="289"/>
      <c r="E1" s="289"/>
      <c r="F1" s="289"/>
    </row>
    <row r="2" spans="1:12" ht="11.25" customHeight="1" x14ac:dyDescent="0.25">
      <c r="A2" s="289"/>
      <c r="B2" s="289"/>
      <c r="C2" s="289"/>
      <c r="D2" s="289"/>
      <c r="E2" s="289"/>
      <c r="F2" s="289"/>
    </row>
    <row r="3" spans="1:12" s="7" customFormat="1" ht="21" x14ac:dyDescent="0.25">
      <c r="A3" s="7" t="s">
        <v>1119</v>
      </c>
      <c r="B3" s="7" t="s">
        <v>814</v>
      </c>
      <c r="C3" s="7" t="s">
        <v>1132</v>
      </c>
      <c r="D3" s="184" t="s">
        <v>1385</v>
      </c>
      <c r="E3" s="132" t="s">
        <v>1321</v>
      </c>
      <c r="F3" s="132" t="s">
        <v>1322</v>
      </c>
      <c r="I3" s="7" t="s">
        <v>1122</v>
      </c>
      <c r="J3" s="7" t="s">
        <v>1518</v>
      </c>
      <c r="K3" s="7" t="s">
        <v>1324</v>
      </c>
      <c r="L3" s="7" t="s">
        <v>1124</v>
      </c>
    </row>
    <row r="4" spans="1:12" s="8" customFormat="1" ht="33.75" x14ac:dyDescent="0.25">
      <c r="A4" s="8" t="s">
        <v>4</v>
      </c>
      <c r="B4" s="21" t="s">
        <v>815</v>
      </c>
      <c r="C4" s="2">
        <v>14</v>
      </c>
      <c r="D4" s="238"/>
      <c r="E4" s="236">
        <f>Odon_Mat_Consum_Deconhecida[[#This Row],[VALOR UNID]]/2*(Odon_Mat_Consum_Dados[[#This Row],[QUANT]])</f>
        <v>0</v>
      </c>
      <c r="F4" s="236">
        <f>Odon_Mat_Consum_Deconhecida[[#This Row],[VALOR MÊS]]*12</f>
        <v>0</v>
      </c>
      <c r="I4" s="15">
        <f>Odon_Mat_Consum_Deconhecida[[#This Row],[VALOR UNID]]</f>
        <v>0</v>
      </c>
      <c r="J4" s="15" t="e">
        <f>#REF!</f>
        <v>#REF!</v>
      </c>
      <c r="K4" s="15" t="e">
        <f>#REF!</f>
        <v>#REF!</v>
      </c>
      <c r="L4" s="15" t="e">
        <f>#REF!</f>
        <v>#REF!</v>
      </c>
    </row>
    <row r="5" spans="1:12" s="8" customFormat="1" x14ac:dyDescent="0.25">
      <c r="A5" s="8" t="s">
        <v>9</v>
      </c>
      <c r="B5" s="21" t="s">
        <v>816</v>
      </c>
      <c r="C5" s="2">
        <v>14</v>
      </c>
      <c r="D5" s="172"/>
      <c r="E5" s="15">
        <f>Odon_Mat_Consum_Deconhecida[[#This Row],[VALOR UNID]]*Odon_Mat_Consum_Dados[[#This Row],[QUANT]]</f>
        <v>0</v>
      </c>
      <c r="F5" s="15">
        <f>Odon_Mat_Consum_Deconhecida[[#This Row],[VALOR MÊS]]*12</f>
        <v>0</v>
      </c>
      <c r="I5" s="15">
        <f>Odon_Mat_Consum_Deconhecida[[#This Row],[VALOR UNID]]</f>
        <v>0</v>
      </c>
      <c r="J5" s="15" t="e">
        <f>#REF!</f>
        <v>#REF!</v>
      </c>
      <c r="K5" s="15" t="e">
        <f>#REF!</f>
        <v>#REF!</v>
      </c>
      <c r="L5" s="15" t="e">
        <f>#REF!</f>
        <v>#REF!</v>
      </c>
    </row>
    <row r="6" spans="1:12" s="8" customFormat="1" x14ac:dyDescent="0.25">
      <c r="A6" s="8" t="s">
        <v>12</v>
      </c>
      <c r="B6" s="21" t="s">
        <v>817</v>
      </c>
      <c r="C6" s="2">
        <v>14</v>
      </c>
      <c r="D6" s="238"/>
      <c r="E6" s="236">
        <f>Odon_Mat_Consum_Deconhecida[[#This Row],[VALOR UNID]]*Odon_Mat_Consum_Dados[[#This Row],[QUANT]]</f>
        <v>0</v>
      </c>
      <c r="F6" s="236">
        <f>Odon_Mat_Consum_Deconhecida[[#This Row],[VALOR MÊS]]*12</f>
        <v>0</v>
      </c>
      <c r="I6" s="15">
        <f>Odon_Mat_Consum_Deconhecida[[#This Row],[VALOR UNID]]</f>
        <v>0</v>
      </c>
      <c r="J6" s="15" t="e">
        <f>#REF!</f>
        <v>#REF!</v>
      </c>
      <c r="K6" s="15" t="e">
        <f>#REF!</f>
        <v>#REF!</v>
      </c>
      <c r="L6" s="15" t="e">
        <f>#REF!</f>
        <v>#REF!</v>
      </c>
    </row>
    <row r="7" spans="1:12" s="8" customFormat="1" x14ac:dyDescent="0.25">
      <c r="A7" s="8" t="s">
        <v>15</v>
      </c>
      <c r="B7" s="21" t="s">
        <v>818</v>
      </c>
      <c r="C7" s="2">
        <v>14</v>
      </c>
      <c r="D7" s="172"/>
      <c r="E7" s="15">
        <f>Odon_Mat_Consum_Deconhecida[[#This Row],[VALOR UNID]]/12*(Odon_Mat_Consum_Dados[[#This Row],[QUANT]])</f>
        <v>0</v>
      </c>
      <c r="F7" s="15">
        <f>Odon_Mat_Consum_Deconhecida[[#This Row],[VALOR MÊS]]*12</f>
        <v>0</v>
      </c>
      <c r="I7" s="15">
        <f>Odon_Mat_Consum_Deconhecida[[#This Row],[VALOR UNID]]</f>
        <v>0</v>
      </c>
      <c r="J7" s="15" t="e">
        <f>#REF!</f>
        <v>#REF!</v>
      </c>
      <c r="K7" s="15" t="e">
        <f>#REF!</f>
        <v>#REF!</v>
      </c>
      <c r="L7" s="15" t="e">
        <f>#REF!</f>
        <v>#REF!</v>
      </c>
    </row>
    <row r="8" spans="1:12" s="8" customFormat="1" x14ac:dyDescent="0.25">
      <c r="A8" s="8" t="s">
        <v>18</v>
      </c>
      <c r="B8" s="21" t="s">
        <v>819</v>
      </c>
      <c r="C8" s="2">
        <v>14</v>
      </c>
      <c r="D8" s="239"/>
      <c r="E8" s="236">
        <f>Odon_Mat_Consum_Deconhecida[[#This Row],[VALOR UNID]]/12*(Odon_Mat_Consum_Dados[[#This Row],[QUANT]])</f>
        <v>0</v>
      </c>
      <c r="F8" s="236">
        <f>Odon_Mat_Consum_Deconhecida[[#This Row],[VALOR MÊS]]*12</f>
        <v>0</v>
      </c>
      <c r="I8" s="15">
        <f>Odon_Mat_Consum_Deconhecida[[#This Row],[VALOR UNID]]</f>
        <v>0</v>
      </c>
      <c r="J8" s="15" t="e">
        <f>#REF!</f>
        <v>#REF!</v>
      </c>
      <c r="K8" s="15" t="e">
        <f>#REF!</f>
        <v>#REF!</v>
      </c>
      <c r="L8" s="15" t="e">
        <f>#REF!</f>
        <v>#REF!</v>
      </c>
    </row>
    <row r="9" spans="1:12" s="8" customFormat="1" x14ac:dyDescent="0.25">
      <c r="A9" s="8" t="s">
        <v>21</v>
      </c>
      <c r="B9" s="21" t="s">
        <v>820</v>
      </c>
      <c r="C9" s="2">
        <v>14</v>
      </c>
      <c r="D9" s="172"/>
      <c r="E9" s="15">
        <f>Odon_Mat_Consum_Deconhecida[[#This Row],[VALOR UNID]]/12*(Odon_Mat_Consum_Dados[[#This Row],[QUANT]])</f>
        <v>0</v>
      </c>
      <c r="F9" s="15">
        <f>Odon_Mat_Consum_Deconhecida[[#This Row],[VALOR MÊS]]*12</f>
        <v>0</v>
      </c>
      <c r="I9" s="15">
        <f>Odon_Mat_Consum_Deconhecida[[#This Row],[VALOR UNID]]</f>
        <v>0</v>
      </c>
      <c r="J9" s="15" t="e">
        <f>#REF!</f>
        <v>#REF!</v>
      </c>
      <c r="K9" s="15" t="e">
        <f>#REF!</f>
        <v>#REF!</v>
      </c>
      <c r="L9" s="15" t="e">
        <f>#REF!</f>
        <v>#REF!</v>
      </c>
    </row>
    <row r="10" spans="1:12" s="8" customFormat="1" ht="22.5" x14ac:dyDescent="0.25">
      <c r="A10" s="8" t="s">
        <v>24</v>
      </c>
      <c r="B10" s="21" t="s">
        <v>821</v>
      </c>
      <c r="C10" s="2">
        <v>14</v>
      </c>
      <c r="D10" s="238"/>
      <c r="E10" s="236">
        <f>Odon_Mat_Consum_Deconhecida[[#This Row],[VALOR UNID]]*Odon_Mat_Consum_Dados[[#This Row],[QUANT]]</f>
        <v>0</v>
      </c>
      <c r="F10" s="236">
        <f>Odon_Mat_Consum_Deconhecida[[#This Row],[VALOR MÊS]]*12</f>
        <v>0</v>
      </c>
      <c r="I10" s="15">
        <f>Odon_Mat_Consum_Deconhecida[[#This Row],[VALOR UNID]]</f>
        <v>0</v>
      </c>
      <c r="J10" s="15" t="e">
        <f>#REF!</f>
        <v>#REF!</v>
      </c>
      <c r="K10" s="15" t="e">
        <f>#REF!</f>
        <v>#REF!</v>
      </c>
      <c r="L10" s="15" t="e">
        <f>#REF!</f>
        <v>#REF!</v>
      </c>
    </row>
    <row r="11" spans="1:12" s="8" customFormat="1" ht="22.5" x14ac:dyDescent="0.25">
      <c r="A11" s="8" t="s">
        <v>28</v>
      </c>
      <c r="B11" s="21" t="s">
        <v>822</v>
      </c>
      <c r="C11" s="2">
        <v>14</v>
      </c>
      <c r="D11" s="172"/>
      <c r="E11" s="15">
        <f>Odon_Mat_Consum_Deconhecida[[#This Row],[VALOR UNID]]*Odon_Mat_Consum_Dados[[#This Row],[QUANT]]</f>
        <v>0</v>
      </c>
      <c r="F11" s="15">
        <f>Odon_Mat_Consum_Deconhecida[[#This Row],[VALOR MÊS]]*12</f>
        <v>0</v>
      </c>
      <c r="I11" s="15">
        <f>Odon_Mat_Consum_Deconhecida[[#This Row],[VALOR UNID]]</f>
        <v>0</v>
      </c>
      <c r="J11" s="15" t="e">
        <f>#REF!</f>
        <v>#REF!</v>
      </c>
      <c r="K11" s="15" t="e">
        <f>#REF!</f>
        <v>#REF!</v>
      </c>
      <c r="L11" s="15" t="e">
        <f>#REF!</f>
        <v>#REF!</v>
      </c>
    </row>
    <row r="12" spans="1:12" s="8" customFormat="1" x14ac:dyDescent="0.25">
      <c r="A12" s="8" t="s">
        <v>29</v>
      </c>
      <c r="B12" s="21" t="s">
        <v>823</v>
      </c>
      <c r="C12" s="2">
        <v>28</v>
      </c>
      <c r="D12" s="238"/>
      <c r="E12" s="236">
        <f>Odon_Mat_Consum_Deconhecida[[#This Row],[VALOR UNID]]*Odon_Mat_Consum_Dados[[#This Row],[QUANT]]</f>
        <v>0</v>
      </c>
      <c r="F12" s="236">
        <f>Odon_Mat_Consum_Deconhecida[[#This Row],[VALOR MÊS]]*12</f>
        <v>0</v>
      </c>
      <c r="I12" s="15">
        <f>Odon_Mat_Consum_Deconhecida[[#This Row],[VALOR UNID]]</f>
        <v>0</v>
      </c>
      <c r="J12" s="15" t="e">
        <f>#REF!</f>
        <v>#REF!</v>
      </c>
      <c r="K12" s="15" t="e">
        <f>#REF!</f>
        <v>#REF!</v>
      </c>
      <c r="L12" s="15" t="e">
        <f>#REF!</f>
        <v>#REF!</v>
      </c>
    </row>
    <row r="13" spans="1:12" s="8" customFormat="1" x14ac:dyDescent="0.25">
      <c r="A13" s="8" t="s">
        <v>31</v>
      </c>
      <c r="B13" s="21" t="s">
        <v>824</v>
      </c>
      <c r="C13" s="2">
        <v>14</v>
      </c>
      <c r="D13" s="172"/>
      <c r="E13" s="15">
        <f>Odon_Mat_Consum_Deconhecida[[#This Row],[VALOR UNID]]*Odon_Mat_Consum_Dados[[#This Row],[QUANT]]</f>
        <v>0</v>
      </c>
      <c r="F13" s="15">
        <f>Odon_Mat_Consum_Deconhecida[[#This Row],[VALOR MÊS]]*12</f>
        <v>0</v>
      </c>
      <c r="I13" s="15">
        <f>Odon_Mat_Consum_Deconhecida[[#This Row],[VALOR UNID]]</f>
        <v>0</v>
      </c>
      <c r="J13" s="15" t="e">
        <f>#REF!</f>
        <v>#REF!</v>
      </c>
      <c r="K13" s="15" t="e">
        <f>#REF!</f>
        <v>#REF!</v>
      </c>
      <c r="L13" s="15" t="e">
        <f>#REF!</f>
        <v>#REF!</v>
      </c>
    </row>
    <row r="14" spans="1:12" s="8" customFormat="1" ht="22.5" x14ac:dyDescent="0.25">
      <c r="A14" s="8" t="s">
        <v>35</v>
      </c>
      <c r="B14" s="21" t="s">
        <v>825</v>
      </c>
      <c r="C14" s="2">
        <v>68</v>
      </c>
      <c r="D14" s="238"/>
      <c r="E14" s="236">
        <f>Odon_Mat_Consum_Deconhecida[[#This Row],[VALOR UNID]]*Odon_Mat_Consum_Dados[[#This Row],[QUANT]]</f>
        <v>0</v>
      </c>
      <c r="F14" s="236">
        <f>Odon_Mat_Consum_Deconhecida[[#This Row],[VALOR MÊS]]*12</f>
        <v>0</v>
      </c>
      <c r="I14" s="15">
        <f>Odon_Mat_Consum_Deconhecida[[#This Row],[VALOR UNID]]</f>
        <v>0</v>
      </c>
      <c r="J14" s="15" t="e">
        <f>#REF!</f>
        <v>#REF!</v>
      </c>
      <c r="K14" s="15" t="e">
        <f>#REF!</f>
        <v>#REF!</v>
      </c>
      <c r="L14" s="15" t="e">
        <f>#REF!</f>
        <v>#REF!</v>
      </c>
    </row>
    <row r="15" spans="1:12" s="8" customFormat="1" x14ac:dyDescent="0.25">
      <c r="A15" s="8" t="s">
        <v>37</v>
      </c>
      <c r="B15" s="21" t="s">
        <v>826</v>
      </c>
      <c r="C15" s="2">
        <v>14</v>
      </c>
      <c r="D15" s="172"/>
      <c r="E15" s="15">
        <f>Odon_Mat_Consum_Deconhecida[[#This Row],[VALOR UNID]]/12*(Odon_Mat_Consum_Dados[[#This Row],[QUANT]])</f>
        <v>0</v>
      </c>
      <c r="F15" s="15">
        <f>Odon_Mat_Consum_Deconhecida[[#This Row],[VALOR MÊS]]*12</f>
        <v>0</v>
      </c>
      <c r="I15" s="15">
        <f>Odon_Mat_Consum_Deconhecida[[#This Row],[VALOR UNID]]</f>
        <v>0</v>
      </c>
      <c r="J15" s="15" t="e">
        <f>#REF!</f>
        <v>#REF!</v>
      </c>
      <c r="K15" s="15" t="e">
        <f>#REF!</f>
        <v>#REF!</v>
      </c>
      <c r="L15" s="15" t="e">
        <f>#REF!</f>
        <v>#REF!</v>
      </c>
    </row>
    <row r="16" spans="1:12" s="8" customFormat="1" x14ac:dyDescent="0.25">
      <c r="A16" s="8" t="s">
        <v>41</v>
      </c>
      <c r="B16" s="21" t="s">
        <v>827</v>
      </c>
      <c r="C16" s="2">
        <v>14</v>
      </c>
      <c r="D16" s="238"/>
      <c r="E16" s="236">
        <f>Odon_Mat_Consum_Deconhecida[[#This Row],[VALOR UNID]]/12*(Odon_Mat_Consum_Dados[[#This Row],[QUANT]])</f>
        <v>0</v>
      </c>
      <c r="F16" s="236">
        <f>Odon_Mat_Consum_Deconhecida[[#This Row],[VALOR MÊS]]*12</f>
        <v>0</v>
      </c>
      <c r="I16" s="15">
        <f>Odon_Mat_Consum_Deconhecida[[#This Row],[VALOR UNID]]</f>
        <v>0</v>
      </c>
      <c r="J16" s="15" t="e">
        <f>#REF!</f>
        <v>#REF!</v>
      </c>
      <c r="K16" s="15" t="e">
        <f>#REF!</f>
        <v>#REF!</v>
      </c>
      <c r="L16" s="15" t="e">
        <f>#REF!</f>
        <v>#REF!</v>
      </c>
    </row>
    <row r="17" spans="1:12" s="8" customFormat="1" x14ac:dyDescent="0.25">
      <c r="A17" s="8" t="s">
        <v>43</v>
      </c>
      <c r="B17" s="21" t="s">
        <v>828</v>
      </c>
      <c r="C17" s="2">
        <v>14</v>
      </c>
      <c r="D17" s="172"/>
      <c r="E17" s="15">
        <f>Odon_Mat_Consum_Deconhecida[[#This Row],[VALOR UNID]]*Odon_Mat_Consum_Dados[[#This Row],[QUANT]]</f>
        <v>0</v>
      </c>
      <c r="F17" s="15">
        <f>Odon_Mat_Consum_Deconhecida[[#This Row],[VALOR MÊS]]*12</f>
        <v>0</v>
      </c>
      <c r="I17" s="15">
        <f>Odon_Mat_Consum_Deconhecida[[#This Row],[VALOR UNID]]</f>
        <v>0</v>
      </c>
      <c r="J17" s="15" t="e">
        <f>#REF!</f>
        <v>#REF!</v>
      </c>
      <c r="K17" s="15" t="e">
        <f>#REF!</f>
        <v>#REF!</v>
      </c>
      <c r="L17" s="15" t="e">
        <f>#REF!</f>
        <v>#REF!</v>
      </c>
    </row>
    <row r="18" spans="1:12" s="8" customFormat="1" ht="22.5" x14ac:dyDescent="0.25">
      <c r="A18" s="8" t="s">
        <v>46</v>
      </c>
      <c r="B18" s="21" t="s">
        <v>829</v>
      </c>
      <c r="C18" s="2">
        <v>24</v>
      </c>
      <c r="D18" s="238"/>
      <c r="E18" s="236">
        <f>Odon_Mat_Consum_Deconhecida[[#This Row],[VALOR UNID]]*Odon_Mat_Consum_Dados[[#This Row],[QUANT]]</f>
        <v>0</v>
      </c>
      <c r="F18" s="236">
        <f>Odon_Mat_Consum_Deconhecida[[#This Row],[VALOR MÊS]]*12</f>
        <v>0</v>
      </c>
      <c r="I18" s="15">
        <f>Odon_Mat_Consum_Deconhecida[[#This Row],[VALOR UNID]]</f>
        <v>0</v>
      </c>
      <c r="J18" s="15" t="e">
        <f>#REF!</f>
        <v>#REF!</v>
      </c>
      <c r="K18" s="15" t="e">
        <f>#REF!</f>
        <v>#REF!</v>
      </c>
      <c r="L18" s="15" t="e">
        <f>#REF!</f>
        <v>#REF!</v>
      </c>
    </row>
    <row r="19" spans="1:12" s="8" customFormat="1" ht="22.5" x14ac:dyDescent="0.25">
      <c r="A19" s="8" t="s">
        <v>49</v>
      </c>
      <c r="B19" s="21" t="s">
        <v>830</v>
      </c>
      <c r="C19" s="2">
        <v>14</v>
      </c>
      <c r="D19" s="172"/>
      <c r="E19" s="15">
        <f>Odon_Mat_Consum_Deconhecida[[#This Row],[VALOR UNID]]*Odon_Mat_Consum_Dados[[#This Row],[QUANT]]</f>
        <v>0</v>
      </c>
      <c r="F19" s="15">
        <f>Odon_Mat_Consum_Deconhecida[[#This Row],[VALOR MÊS]]*12</f>
        <v>0</v>
      </c>
      <c r="I19" s="15">
        <f>Odon_Mat_Consum_Deconhecida[[#This Row],[VALOR UNID]]</f>
        <v>0</v>
      </c>
      <c r="J19" s="15" t="e">
        <f>#REF!</f>
        <v>#REF!</v>
      </c>
      <c r="K19" s="15" t="e">
        <f>#REF!</f>
        <v>#REF!</v>
      </c>
      <c r="L19" s="15" t="e">
        <f>#REF!</f>
        <v>#REF!</v>
      </c>
    </row>
    <row r="20" spans="1:12" s="8" customFormat="1" x14ac:dyDescent="0.25">
      <c r="A20" s="8" t="s">
        <v>53</v>
      </c>
      <c r="B20" s="21" t="s">
        <v>831</v>
      </c>
      <c r="C20" s="2">
        <v>14</v>
      </c>
      <c r="D20" s="238"/>
      <c r="E20" s="236">
        <f>Odon_Mat_Consum_Deconhecida[[#This Row],[VALOR UNID]]*Odon_Mat_Consum_Dados[[#This Row],[QUANT]]</f>
        <v>0</v>
      </c>
      <c r="F20" s="236">
        <f>Odon_Mat_Consum_Deconhecida[[#This Row],[VALOR MÊS]]*12</f>
        <v>0</v>
      </c>
      <c r="I20" s="15">
        <f>Odon_Mat_Consum_Deconhecida[[#This Row],[VALOR UNID]]</f>
        <v>0</v>
      </c>
      <c r="J20" s="15" t="e">
        <f>#REF!</f>
        <v>#REF!</v>
      </c>
      <c r="K20" s="15" t="e">
        <f>#REF!</f>
        <v>#REF!</v>
      </c>
      <c r="L20" s="15" t="e">
        <f>#REF!</f>
        <v>#REF!</v>
      </c>
    </row>
    <row r="21" spans="1:12" s="8" customFormat="1" x14ac:dyDescent="0.25">
      <c r="A21" s="8" t="s">
        <v>57</v>
      </c>
      <c r="B21" s="21" t="s">
        <v>832</v>
      </c>
      <c r="C21" s="2">
        <v>24</v>
      </c>
      <c r="D21" s="172"/>
      <c r="E21" s="15">
        <f>Odon_Mat_Consum_Deconhecida[[#This Row],[VALOR UNID]]*Odon_Mat_Consum_Dados[[#This Row],[QUANT]]</f>
        <v>0</v>
      </c>
      <c r="F21" s="15">
        <f>Odon_Mat_Consum_Deconhecida[[#This Row],[VALOR MÊS]]*12</f>
        <v>0</v>
      </c>
      <c r="I21" s="15">
        <f>Odon_Mat_Consum_Deconhecida[[#This Row],[VALOR UNID]]</f>
        <v>0</v>
      </c>
      <c r="J21" s="15" t="e">
        <f>#REF!</f>
        <v>#REF!</v>
      </c>
      <c r="K21" s="15" t="e">
        <f>#REF!</f>
        <v>#REF!</v>
      </c>
      <c r="L21" s="15" t="e">
        <f>#REF!</f>
        <v>#REF!</v>
      </c>
    </row>
    <row r="22" spans="1:12" s="8" customFormat="1" x14ac:dyDescent="0.25">
      <c r="A22" s="8" t="s">
        <v>59</v>
      </c>
      <c r="B22" s="21" t="s">
        <v>833</v>
      </c>
      <c r="C22" s="2">
        <v>14</v>
      </c>
      <c r="D22" s="238"/>
      <c r="E22" s="236">
        <f>Odon_Mat_Consum_Deconhecida[[#This Row],[VALOR UNID]]*Odon_Mat_Consum_Dados[[#This Row],[QUANT]]</f>
        <v>0</v>
      </c>
      <c r="F22" s="236">
        <f>Odon_Mat_Consum_Deconhecida[[#This Row],[VALOR MÊS]]*12</f>
        <v>0</v>
      </c>
      <c r="I22" s="15">
        <f>Odon_Mat_Consum_Deconhecida[[#This Row],[VALOR UNID]]</f>
        <v>0</v>
      </c>
      <c r="J22" s="15" t="e">
        <f>#REF!</f>
        <v>#REF!</v>
      </c>
      <c r="K22" s="15" t="e">
        <f>#REF!</f>
        <v>#REF!</v>
      </c>
      <c r="L22" s="15" t="e">
        <f>#REF!</f>
        <v>#REF!</v>
      </c>
    </row>
    <row r="23" spans="1:12" s="8" customFormat="1" x14ac:dyDescent="0.25">
      <c r="A23" s="8" t="s">
        <v>62</v>
      </c>
      <c r="B23" s="21" t="s">
        <v>834</v>
      </c>
      <c r="C23" s="2">
        <v>14</v>
      </c>
      <c r="D23" s="172"/>
      <c r="E23" s="15">
        <f>Odon_Mat_Consum_Deconhecida[[#This Row],[VALOR UNID]]/2*(Odon_Mat_Consum_Dados[[#This Row],[QUANT]])</f>
        <v>0</v>
      </c>
      <c r="F23" s="15">
        <f>Odon_Mat_Consum_Deconhecida[[#This Row],[VALOR MÊS]]*12</f>
        <v>0</v>
      </c>
      <c r="I23" s="15">
        <f>Odon_Mat_Consum_Deconhecida[[#This Row],[VALOR UNID]]</f>
        <v>0</v>
      </c>
      <c r="J23" s="15" t="e">
        <f>#REF!</f>
        <v>#REF!</v>
      </c>
      <c r="K23" s="15" t="e">
        <f>#REF!</f>
        <v>#REF!</v>
      </c>
      <c r="L23" s="15" t="e">
        <f>#REF!</f>
        <v>#REF!</v>
      </c>
    </row>
    <row r="24" spans="1:12" s="8" customFormat="1" x14ac:dyDescent="0.25">
      <c r="A24" s="8" t="s">
        <v>65</v>
      </c>
      <c r="B24" s="21" t="s">
        <v>835</v>
      </c>
      <c r="C24" s="2">
        <v>14</v>
      </c>
      <c r="D24" s="238"/>
      <c r="E24" s="236">
        <f>Odon_Mat_Consum_Deconhecida[[#This Row],[VALOR UNID]]/2*(Odon_Mat_Consum_Dados[[#This Row],[QUANT]])</f>
        <v>0</v>
      </c>
      <c r="F24" s="236">
        <f>Odon_Mat_Consum_Deconhecida[[#This Row],[VALOR MÊS]]*12</f>
        <v>0</v>
      </c>
      <c r="I24" s="15">
        <f>Odon_Mat_Consum_Deconhecida[[#This Row],[VALOR UNID]]</f>
        <v>0</v>
      </c>
      <c r="J24" s="15" t="e">
        <f>#REF!</f>
        <v>#REF!</v>
      </c>
      <c r="K24" s="15" t="e">
        <f>#REF!</f>
        <v>#REF!</v>
      </c>
      <c r="L24" s="15" t="e">
        <f>#REF!</f>
        <v>#REF!</v>
      </c>
    </row>
    <row r="25" spans="1:12" s="8" customFormat="1" ht="22.5" x14ac:dyDescent="0.25">
      <c r="A25" s="8" t="s">
        <v>67</v>
      </c>
      <c r="B25" s="21" t="s">
        <v>836</v>
      </c>
      <c r="C25" s="2">
        <v>14</v>
      </c>
      <c r="D25" s="172"/>
      <c r="E25" s="15">
        <f>Odon_Mat_Consum_Deconhecida[[#This Row],[VALOR UNID]]*Odon_Mat_Consum_Dados[[#This Row],[QUANT]]</f>
        <v>0</v>
      </c>
      <c r="F25" s="15">
        <f>Odon_Mat_Consum_Deconhecida[[#This Row],[VALOR MÊS]]*12</f>
        <v>0</v>
      </c>
      <c r="I25" s="15">
        <f>Odon_Mat_Consum_Deconhecida[[#This Row],[VALOR UNID]]</f>
        <v>0</v>
      </c>
      <c r="J25" s="15" t="e">
        <f>#REF!</f>
        <v>#REF!</v>
      </c>
      <c r="K25" s="15" t="e">
        <f>#REF!</f>
        <v>#REF!</v>
      </c>
      <c r="L25" s="15" t="e">
        <f>#REF!</f>
        <v>#REF!</v>
      </c>
    </row>
    <row r="26" spans="1:12" s="8" customFormat="1" ht="33.75" x14ac:dyDescent="0.25">
      <c r="A26" s="8" t="s">
        <v>70</v>
      </c>
      <c r="B26" s="21" t="s">
        <v>837</v>
      </c>
      <c r="C26" s="2">
        <v>24</v>
      </c>
      <c r="D26" s="238"/>
      <c r="E26" s="236">
        <f>Odon_Mat_Consum_Deconhecida[[#This Row],[VALOR UNID]]*Odon_Mat_Consum_Dados[[#This Row],[QUANT]]</f>
        <v>0</v>
      </c>
      <c r="F26" s="236">
        <f>Odon_Mat_Consum_Deconhecida[[#This Row],[VALOR MÊS]]*12</f>
        <v>0</v>
      </c>
      <c r="I26" s="15">
        <f>Odon_Mat_Consum_Deconhecida[[#This Row],[VALOR UNID]]</f>
        <v>0</v>
      </c>
      <c r="J26" s="15" t="e">
        <f>#REF!</f>
        <v>#REF!</v>
      </c>
      <c r="K26" s="15" t="e">
        <f>#REF!</f>
        <v>#REF!</v>
      </c>
      <c r="L26" s="15" t="e">
        <f>#REF!</f>
        <v>#REF!</v>
      </c>
    </row>
    <row r="27" spans="1:12" s="8" customFormat="1" x14ac:dyDescent="0.25">
      <c r="A27" s="8" t="s">
        <v>73</v>
      </c>
      <c r="B27" s="21" t="s">
        <v>838</v>
      </c>
      <c r="C27" s="2">
        <v>24</v>
      </c>
      <c r="D27" s="172"/>
      <c r="E27" s="15">
        <f>Odon_Mat_Consum_Deconhecida[[#This Row],[VALOR UNID]]*Odon_Mat_Consum_Dados[[#This Row],[QUANT]]</f>
        <v>0</v>
      </c>
      <c r="F27" s="15">
        <f>Odon_Mat_Consum_Deconhecida[[#This Row],[VALOR MÊS]]*12</f>
        <v>0</v>
      </c>
      <c r="I27" s="15">
        <f>Odon_Mat_Consum_Deconhecida[[#This Row],[VALOR UNID]]</f>
        <v>0</v>
      </c>
      <c r="J27" s="15" t="e">
        <f>#REF!</f>
        <v>#REF!</v>
      </c>
      <c r="K27" s="15" t="e">
        <f>#REF!</f>
        <v>#REF!</v>
      </c>
      <c r="L27" s="15" t="e">
        <f>#REF!</f>
        <v>#REF!</v>
      </c>
    </row>
    <row r="28" spans="1:12" s="8" customFormat="1" x14ac:dyDescent="0.25">
      <c r="A28" s="8" t="s">
        <v>75</v>
      </c>
      <c r="B28" s="21" t="s">
        <v>839</v>
      </c>
      <c r="C28" s="2">
        <v>24</v>
      </c>
      <c r="D28" s="238"/>
      <c r="E28" s="236">
        <f>Odon_Mat_Consum_Deconhecida[[#This Row],[VALOR UNID]]*Odon_Mat_Consum_Dados[[#This Row],[QUANT]]</f>
        <v>0</v>
      </c>
      <c r="F28" s="236">
        <f>Odon_Mat_Consum_Deconhecida[[#This Row],[VALOR MÊS]]*12</f>
        <v>0</v>
      </c>
      <c r="I28" s="15">
        <f>Odon_Mat_Consum_Deconhecida[[#This Row],[VALOR UNID]]</f>
        <v>0</v>
      </c>
      <c r="J28" s="15" t="e">
        <f>#REF!</f>
        <v>#REF!</v>
      </c>
      <c r="K28" s="15" t="e">
        <f>#REF!</f>
        <v>#REF!</v>
      </c>
      <c r="L28" s="15" t="e">
        <f>#REF!</f>
        <v>#REF!</v>
      </c>
    </row>
    <row r="29" spans="1:12" s="8" customFormat="1" x14ac:dyDescent="0.25">
      <c r="A29" s="8" t="s">
        <v>79</v>
      </c>
      <c r="B29" s="21" t="s">
        <v>840</v>
      </c>
      <c r="C29" s="2">
        <v>14</v>
      </c>
      <c r="D29" s="172"/>
      <c r="E29" s="15">
        <f>Odon_Mat_Consum_Deconhecida[[#This Row],[VALOR UNID]]*Odon_Mat_Consum_Dados[[#This Row],[QUANT]]</f>
        <v>0</v>
      </c>
      <c r="F29" s="15">
        <f>Odon_Mat_Consum_Deconhecida[[#This Row],[VALOR MÊS]]*12</f>
        <v>0</v>
      </c>
      <c r="I29" s="15">
        <f>Odon_Mat_Consum_Deconhecida[[#This Row],[VALOR UNID]]</f>
        <v>0</v>
      </c>
      <c r="J29" s="15" t="e">
        <f>#REF!</f>
        <v>#REF!</v>
      </c>
      <c r="K29" s="15" t="e">
        <f>#REF!</f>
        <v>#REF!</v>
      </c>
      <c r="L29" s="15" t="e">
        <f>#REF!</f>
        <v>#REF!</v>
      </c>
    </row>
    <row r="30" spans="1:12" s="8" customFormat="1" x14ac:dyDescent="0.25">
      <c r="A30" s="8" t="s">
        <v>82</v>
      </c>
      <c r="B30" s="21" t="s">
        <v>841</v>
      </c>
      <c r="C30" s="2">
        <v>140</v>
      </c>
      <c r="D30" s="238"/>
      <c r="E30" s="236">
        <f>Odon_Mat_Consum_Deconhecida[[#This Row],[VALOR UNID]]*Odon_Mat_Consum_Dados[[#This Row],[QUANT]]</f>
        <v>0</v>
      </c>
      <c r="F30" s="236">
        <f>Odon_Mat_Consum_Deconhecida[[#This Row],[VALOR MÊS]]*12</f>
        <v>0</v>
      </c>
      <c r="I30" s="15">
        <f>Odon_Mat_Consum_Deconhecida[[#This Row],[VALOR UNID]]</f>
        <v>0</v>
      </c>
      <c r="J30" s="15" t="e">
        <f>#REF!</f>
        <v>#REF!</v>
      </c>
      <c r="K30" s="15" t="e">
        <f>#REF!</f>
        <v>#REF!</v>
      </c>
      <c r="L30" s="15" t="e">
        <f>#REF!</f>
        <v>#REF!</v>
      </c>
    </row>
    <row r="31" spans="1:12" s="8" customFormat="1" x14ac:dyDescent="0.25">
      <c r="A31" s="8" t="s">
        <v>86</v>
      </c>
      <c r="B31" s="21" t="s">
        <v>842</v>
      </c>
      <c r="C31" s="2">
        <v>14</v>
      </c>
      <c r="D31" s="172"/>
      <c r="E31" s="15">
        <f>Odon_Mat_Consum_Deconhecida[[#This Row],[VALOR UNID]]/12*(Odon_Mat_Consum_Dados[[#This Row],[QUANT]])</f>
        <v>0</v>
      </c>
      <c r="F31" s="15">
        <f>Odon_Mat_Consum_Deconhecida[[#This Row],[VALOR MÊS]]*12</f>
        <v>0</v>
      </c>
      <c r="I31" s="15">
        <f>Odon_Mat_Consum_Deconhecida[[#This Row],[VALOR UNID]]</f>
        <v>0</v>
      </c>
      <c r="J31" s="15" t="e">
        <f>#REF!</f>
        <v>#REF!</v>
      </c>
      <c r="K31" s="15" t="e">
        <f>#REF!</f>
        <v>#REF!</v>
      </c>
      <c r="L31" s="15" t="e">
        <f>#REF!</f>
        <v>#REF!</v>
      </c>
    </row>
    <row r="32" spans="1:12" s="8" customFormat="1" x14ac:dyDescent="0.25">
      <c r="A32" s="8" t="s">
        <v>88</v>
      </c>
      <c r="B32" s="21" t="s">
        <v>843</v>
      </c>
      <c r="C32" s="2">
        <v>14</v>
      </c>
      <c r="D32" s="238"/>
      <c r="E32" s="236">
        <f>Odon_Mat_Consum_Deconhecida[[#This Row],[VALOR UNID]]/12*(Odon_Mat_Consum_Dados[[#This Row],[QUANT]])</f>
        <v>0</v>
      </c>
      <c r="F32" s="236">
        <f>Odon_Mat_Consum_Deconhecida[[#This Row],[VALOR MÊS]]*12</f>
        <v>0</v>
      </c>
      <c r="I32" s="15">
        <f>Odon_Mat_Consum_Deconhecida[[#This Row],[VALOR UNID]]</f>
        <v>0</v>
      </c>
      <c r="J32" s="15" t="e">
        <f>#REF!</f>
        <v>#REF!</v>
      </c>
      <c r="K32" s="15" t="e">
        <f>#REF!</f>
        <v>#REF!</v>
      </c>
      <c r="L32" s="15" t="e">
        <f>#REF!</f>
        <v>#REF!</v>
      </c>
    </row>
    <row r="33" spans="1:12" s="8" customFormat="1" x14ac:dyDescent="0.25">
      <c r="A33" s="8" t="s">
        <v>91</v>
      </c>
      <c r="B33" s="21" t="s">
        <v>844</v>
      </c>
      <c r="C33" s="2">
        <v>14</v>
      </c>
      <c r="D33" s="172"/>
      <c r="E33" s="15">
        <f>Odon_Mat_Consum_Deconhecida[[#This Row],[VALOR UNID]]/12*(Odon_Mat_Consum_Dados[[#This Row],[QUANT]])</f>
        <v>0</v>
      </c>
      <c r="F33" s="15">
        <f>Odon_Mat_Consum_Deconhecida[[#This Row],[VALOR MÊS]]*12</f>
        <v>0</v>
      </c>
      <c r="I33" s="15">
        <f>Odon_Mat_Consum_Deconhecida[[#This Row],[VALOR UNID]]</f>
        <v>0</v>
      </c>
      <c r="J33" s="15" t="e">
        <f>#REF!</f>
        <v>#REF!</v>
      </c>
      <c r="K33" s="15" t="e">
        <f>#REF!</f>
        <v>#REF!</v>
      </c>
      <c r="L33" s="15" t="e">
        <f>#REF!</f>
        <v>#REF!</v>
      </c>
    </row>
    <row r="34" spans="1:12" s="8" customFormat="1" x14ac:dyDescent="0.25">
      <c r="A34" s="8" t="s">
        <v>94</v>
      </c>
      <c r="B34" s="21" t="s">
        <v>845</v>
      </c>
      <c r="C34" s="2">
        <v>14</v>
      </c>
      <c r="D34" s="238"/>
      <c r="E34" s="236">
        <f>Odon_Mat_Consum_Deconhecida[[#This Row],[VALOR UNID]]*Odon_Mat_Consum_Dados[[#This Row],[QUANT]]</f>
        <v>0</v>
      </c>
      <c r="F34" s="236">
        <f>Odon_Mat_Consum_Deconhecida[[#This Row],[VALOR MÊS]]*12</f>
        <v>0</v>
      </c>
      <c r="I34" s="15">
        <f>Odon_Mat_Consum_Deconhecida[[#This Row],[VALOR UNID]]</f>
        <v>0</v>
      </c>
      <c r="J34" s="15" t="e">
        <f>#REF!</f>
        <v>#REF!</v>
      </c>
      <c r="K34" s="15" t="e">
        <f>#REF!</f>
        <v>#REF!</v>
      </c>
      <c r="L34" s="15" t="e">
        <f>#REF!</f>
        <v>#REF!</v>
      </c>
    </row>
    <row r="35" spans="1:12" s="8" customFormat="1" ht="22.5" x14ac:dyDescent="0.25">
      <c r="A35" s="8" t="s">
        <v>97</v>
      </c>
      <c r="B35" s="21" t="s">
        <v>846</v>
      </c>
      <c r="C35" s="2">
        <v>14</v>
      </c>
      <c r="D35" s="172"/>
      <c r="E35" s="15">
        <f>Odon_Mat_Consum_Deconhecida[[#This Row],[VALOR UNID]]/6*(Odon_Mat_Consum_Dados[[#This Row],[QUANT]])</f>
        <v>0</v>
      </c>
      <c r="F35" s="15">
        <f>Odon_Mat_Consum_Deconhecida[[#This Row],[VALOR MÊS]]*12</f>
        <v>0</v>
      </c>
      <c r="I35" s="15">
        <f>Odon_Mat_Consum_Deconhecida[[#This Row],[VALOR UNID]]</f>
        <v>0</v>
      </c>
      <c r="J35" s="15" t="e">
        <f>#REF!</f>
        <v>#REF!</v>
      </c>
      <c r="K35" s="15" t="e">
        <f>#REF!</f>
        <v>#REF!</v>
      </c>
      <c r="L35" s="15" t="e">
        <f>#REF!</f>
        <v>#REF!</v>
      </c>
    </row>
    <row r="36" spans="1:12" s="8" customFormat="1" x14ac:dyDescent="0.25">
      <c r="A36" s="8" t="s">
        <v>100</v>
      </c>
      <c r="B36" s="21" t="s">
        <v>847</v>
      </c>
      <c r="C36" s="2">
        <v>14</v>
      </c>
      <c r="D36" s="238"/>
      <c r="E36" s="236">
        <f>Odon_Mat_Consum_Deconhecida[[#This Row],[VALOR UNID]]*Odon_Mat_Consum_Dados[[#This Row],[QUANT]]</f>
        <v>0</v>
      </c>
      <c r="F36" s="236">
        <f>Odon_Mat_Consum_Deconhecida[[#This Row],[VALOR MÊS]]*12</f>
        <v>0</v>
      </c>
      <c r="I36" s="15">
        <f>Odon_Mat_Consum_Deconhecida[[#This Row],[VALOR UNID]]</f>
        <v>0</v>
      </c>
      <c r="J36" s="15" t="e">
        <f>#REF!</f>
        <v>#REF!</v>
      </c>
      <c r="K36" s="15" t="e">
        <f>#REF!</f>
        <v>#REF!</v>
      </c>
      <c r="L36" s="15" t="e">
        <f>#REF!</f>
        <v>#REF!</v>
      </c>
    </row>
    <row r="37" spans="1:12" s="8" customFormat="1" x14ac:dyDescent="0.25">
      <c r="A37" s="8" t="s">
        <v>103</v>
      </c>
      <c r="B37" s="21" t="s">
        <v>848</v>
      </c>
      <c r="C37" s="2">
        <v>14</v>
      </c>
      <c r="D37" s="172"/>
      <c r="E37" s="15">
        <f>Odon_Mat_Consum_Deconhecida[[#This Row],[VALOR UNID]]/12*(Odon_Mat_Consum_Dados[[#This Row],[QUANT]])</f>
        <v>0</v>
      </c>
      <c r="F37" s="15">
        <f>Odon_Mat_Consum_Deconhecida[[#This Row],[VALOR MÊS]]*12</f>
        <v>0</v>
      </c>
      <c r="I37" s="15">
        <f>Odon_Mat_Consum_Deconhecida[[#This Row],[VALOR UNID]]</f>
        <v>0</v>
      </c>
      <c r="J37" s="15" t="e">
        <f>#REF!</f>
        <v>#REF!</v>
      </c>
      <c r="K37" s="15" t="e">
        <f>#REF!</f>
        <v>#REF!</v>
      </c>
      <c r="L37" s="15" t="e">
        <f>#REF!</f>
        <v>#REF!</v>
      </c>
    </row>
    <row r="38" spans="1:12" s="8" customFormat="1" x14ac:dyDescent="0.25">
      <c r="A38" s="8" t="s">
        <v>105</v>
      </c>
      <c r="B38" s="21" t="s">
        <v>849</v>
      </c>
      <c r="C38" s="2">
        <v>14</v>
      </c>
      <c r="D38" s="238"/>
      <c r="E38" s="236">
        <f>Odon_Mat_Consum_Deconhecida[[#This Row],[VALOR UNID]]/6*(Odon_Mat_Consum_Dados[[#This Row],[QUANT]])</f>
        <v>0</v>
      </c>
      <c r="F38" s="236">
        <f>Odon_Mat_Consum_Deconhecida[[#This Row],[VALOR MÊS]]*12</f>
        <v>0</v>
      </c>
      <c r="I38" s="15">
        <f>Odon_Mat_Consum_Deconhecida[[#This Row],[VALOR UNID]]</f>
        <v>0</v>
      </c>
      <c r="J38" s="15" t="e">
        <f>#REF!</f>
        <v>#REF!</v>
      </c>
      <c r="K38" s="15" t="e">
        <f>#REF!</f>
        <v>#REF!</v>
      </c>
      <c r="L38" s="15" t="e">
        <f>#REF!</f>
        <v>#REF!</v>
      </c>
    </row>
    <row r="39" spans="1:12" s="8" customFormat="1" x14ac:dyDescent="0.25">
      <c r="A39" s="8" t="s">
        <v>106</v>
      </c>
      <c r="B39" s="21" t="s">
        <v>850</v>
      </c>
      <c r="C39" s="2">
        <v>14</v>
      </c>
      <c r="D39" s="172"/>
      <c r="E39" s="15">
        <f>Odon_Mat_Consum_Deconhecida[[#This Row],[VALOR UNID]]/12*(Odon_Mat_Consum_Dados[[#This Row],[QUANT]])</f>
        <v>0</v>
      </c>
      <c r="F39" s="15">
        <f>Odon_Mat_Consum_Deconhecida[[#This Row],[VALOR MÊS]]*12</f>
        <v>0</v>
      </c>
      <c r="I39" s="15">
        <f>Odon_Mat_Consum_Deconhecida[[#This Row],[VALOR UNID]]</f>
        <v>0</v>
      </c>
      <c r="J39" s="15" t="e">
        <f>#REF!</f>
        <v>#REF!</v>
      </c>
      <c r="K39" s="15" t="e">
        <f>#REF!</f>
        <v>#REF!</v>
      </c>
      <c r="L39" s="15" t="e">
        <f>#REF!</f>
        <v>#REF!</v>
      </c>
    </row>
    <row r="40" spans="1:12" s="8" customFormat="1" x14ac:dyDescent="0.25">
      <c r="A40" s="8" t="s">
        <v>108</v>
      </c>
      <c r="B40" s="21" t="s">
        <v>851</v>
      </c>
      <c r="C40" s="2">
        <v>24</v>
      </c>
      <c r="D40" s="238"/>
      <c r="E40" s="236">
        <f>Odon_Mat_Consum_Deconhecida[[#This Row],[VALOR UNID]]*Odon_Mat_Consum_Dados[[#This Row],[QUANT]]</f>
        <v>0</v>
      </c>
      <c r="F40" s="236">
        <f>Odon_Mat_Consum_Deconhecida[[#This Row],[VALOR MÊS]]*12</f>
        <v>0</v>
      </c>
      <c r="I40" s="15">
        <f>Odon_Mat_Consum_Deconhecida[[#This Row],[VALOR UNID]]</f>
        <v>0</v>
      </c>
      <c r="J40" s="15" t="e">
        <f>#REF!</f>
        <v>#REF!</v>
      </c>
      <c r="K40" s="15" t="e">
        <f>#REF!</f>
        <v>#REF!</v>
      </c>
      <c r="L40" s="15" t="e">
        <f>#REF!</f>
        <v>#REF!</v>
      </c>
    </row>
    <row r="41" spans="1:12" s="8" customFormat="1" x14ac:dyDescent="0.25">
      <c r="A41" s="8" t="s">
        <v>110</v>
      </c>
      <c r="B41" s="21" t="s">
        <v>852</v>
      </c>
      <c r="C41" s="2">
        <v>14</v>
      </c>
      <c r="D41" s="172"/>
      <c r="E41" s="15">
        <f>Odon_Mat_Consum_Deconhecida[[#This Row],[VALOR UNID]]*Odon_Mat_Consum_Dados[[#This Row],[QUANT]]</f>
        <v>0</v>
      </c>
      <c r="F41" s="15">
        <f>Odon_Mat_Consum_Deconhecida[[#This Row],[VALOR MÊS]]*12</f>
        <v>0</v>
      </c>
      <c r="I41" s="15">
        <f>Odon_Mat_Consum_Deconhecida[[#This Row],[VALOR UNID]]</f>
        <v>0</v>
      </c>
      <c r="J41" s="15" t="e">
        <f>#REF!</f>
        <v>#REF!</v>
      </c>
      <c r="K41" s="15" t="e">
        <f>#REF!</f>
        <v>#REF!</v>
      </c>
      <c r="L41" s="15" t="e">
        <f>#REF!</f>
        <v>#REF!</v>
      </c>
    </row>
    <row r="42" spans="1:12" s="8" customFormat="1" ht="22.5" x14ac:dyDescent="0.25">
      <c r="A42" s="8" t="s">
        <v>113</v>
      </c>
      <c r="B42" s="21" t="s">
        <v>853</v>
      </c>
      <c r="C42" s="2">
        <v>28</v>
      </c>
      <c r="D42" s="238"/>
      <c r="E42" s="236">
        <f>Odon_Mat_Consum_Deconhecida[[#This Row],[VALOR UNID]]*Odon_Mat_Consum_Dados[[#This Row],[QUANT]]</f>
        <v>0</v>
      </c>
      <c r="F42" s="236">
        <f>Odon_Mat_Consum_Deconhecida[[#This Row],[VALOR MÊS]]*12</f>
        <v>0</v>
      </c>
      <c r="I42" s="15">
        <f>Odon_Mat_Consum_Deconhecida[[#This Row],[VALOR UNID]]</f>
        <v>0</v>
      </c>
      <c r="J42" s="15" t="e">
        <f>#REF!</f>
        <v>#REF!</v>
      </c>
      <c r="K42" s="15" t="e">
        <f>#REF!</f>
        <v>#REF!</v>
      </c>
      <c r="L42" s="15" t="e">
        <f>#REF!</f>
        <v>#REF!</v>
      </c>
    </row>
    <row r="43" spans="1:12" s="8" customFormat="1" x14ac:dyDescent="0.25">
      <c r="A43" s="8" t="s">
        <v>114</v>
      </c>
      <c r="B43" s="21" t="s">
        <v>854</v>
      </c>
      <c r="C43" s="2">
        <v>14</v>
      </c>
      <c r="D43" s="172"/>
      <c r="E43" s="15">
        <f>Odon_Mat_Consum_Deconhecida[[#This Row],[VALOR UNID]]/12*(Odon_Mat_Consum_Dados[[#This Row],[QUANT]])</f>
        <v>0</v>
      </c>
      <c r="F43" s="15">
        <f>Odon_Mat_Consum_Deconhecida[[#This Row],[VALOR MÊS]]*12</f>
        <v>0</v>
      </c>
      <c r="I43" s="15">
        <f>Odon_Mat_Consum_Deconhecida[[#This Row],[VALOR UNID]]</f>
        <v>0</v>
      </c>
      <c r="J43" s="15" t="e">
        <f>#REF!</f>
        <v>#REF!</v>
      </c>
      <c r="K43" s="15" t="e">
        <f>#REF!</f>
        <v>#REF!</v>
      </c>
      <c r="L43" s="15" t="e">
        <f>#REF!</f>
        <v>#REF!</v>
      </c>
    </row>
    <row r="44" spans="1:12" s="8" customFormat="1" x14ac:dyDescent="0.25">
      <c r="A44" s="8" t="s">
        <v>117</v>
      </c>
      <c r="B44" s="21" t="s">
        <v>855</v>
      </c>
      <c r="C44" s="2">
        <v>14</v>
      </c>
      <c r="D44" s="238"/>
      <c r="E44" s="236">
        <f>Odon_Mat_Consum_Deconhecida[[#This Row],[VALOR UNID]]*Odon_Mat_Consum_Dados[[#This Row],[QUANT]]</f>
        <v>0</v>
      </c>
      <c r="F44" s="236">
        <f>Odon_Mat_Consum_Deconhecida[[#This Row],[VALOR MÊS]]*12</f>
        <v>0</v>
      </c>
      <c r="I44" s="15">
        <f>Odon_Mat_Consum_Deconhecida[[#This Row],[VALOR UNID]]</f>
        <v>0</v>
      </c>
      <c r="J44" s="15" t="e">
        <f>#REF!</f>
        <v>#REF!</v>
      </c>
      <c r="K44" s="15" t="e">
        <f>#REF!</f>
        <v>#REF!</v>
      </c>
      <c r="L44" s="15" t="e">
        <f>#REF!</f>
        <v>#REF!</v>
      </c>
    </row>
    <row r="45" spans="1:12" s="8" customFormat="1" x14ac:dyDescent="0.25">
      <c r="A45" s="8" t="s">
        <v>119</v>
      </c>
      <c r="B45" s="21" t="s">
        <v>856</v>
      </c>
      <c r="C45" s="2">
        <v>14</v>
      </c>
      <c r="D45" s="172"/>
      <c r="E45" s="15">
        <f>Odon_Mat_Consum_Deconhecida[[#This Row],[VALOR UNID]]*Odon_Mat_Consum_Dados[[#This Row],[QUANT]]</f>
        <v>0</v>
      </c>
      <c r="F45" s="15">
        <f>Odon_Mat_Consum_Deconhecida[[#This Row],[VALOR MÊS]]*12</f>
        <v>0</v>
      </c>
      <c r="I45" s="15">
        <f>Odon_Mat_Consum_Deconhecida[[#This Row],[VALOR UNID]]</f>
        <v>0</v>
      </c>
      <c r="J45" s="15" t="e">
        <f>#REF!</f>
        <v>#REF!</v>
      </c>
      <c r="K45" s="15" t="e">
        <f>#REF!</f>
        <v>#REF!</v>
      </c>
      <c r="L45" s="15" t="e">
        <f>#REF!</f>
        <v>#REF!</v>
      </c>
    </row>
    <row r="46" spans="1:12" s="8" customFormat="1" x14ac:dyDescent="0.25">
      <c r="A46" s="8" t="s">
        <v>121</v>
      </c>
      <c r="B46" s="21" t="s">
        <v>857</v>
      </c>
      <c r="C46" s="2">
        <v>14</v>
      </c>
      <c r="D46" s="238"/>
      <c r="E46" s="236">
        <f>Odon_Mat_Consum_Deconhecida[[#This Row],[VALOR UNID]]/3*(Odon_Mat_Consum_Dados[[#This Row],[QUANT]])</f>
        <v>0</v>
      </c>
      <c r="F46" s="236">
        <f>Odon_Mat_Consum_Deconhecida[[#This Row],[VALOR MÊS]]*12</f>
        <v>0</v>
      </c>
      <c r="I46" s="15">
        <f>Odon_Mat_Consum_Deconhecida[[#This Row],[VALOR UNID]]</f>
        <v>0</v>
      </c>
      <c r="J46" s="15" t="e">
        <f>#REF!</f>
        <v>#REF!</v>
      </c>
      <c r="K46" s="15" t="e">
        <f>#REF!</f>
        <v>#REF!</v>
      </c>
      <c r="L46" s="15" t="e">
        <f>#REF!</f>
        <v>#REF!</v>
      </c>
    </row>
    <row r="47" spans="1:12" s="8" customFormat="1" x14ac:dyDescent="0.25">
      <c r="A47" s="8" t="s">
        <v>123</v>
      </c>
      <c r="B47" s="21" t="s">
        <v>858</v>
      </c>
      <c r="C47" s="2">
        <v>14</v>
      </c>
      <c r="D47" s="172"/>
      <c r="E47" s="15">
        <f>Odon_Mat_Consum_Deconhecida[[#This Row],[VALOR UNID]]/3*(Odon_Mat_Consum_Dados[[#This Row],[QUANT]])</f>
        <v>0</v>
      </c>
      <c r="F47" s="15">
        <f>Odon_Mat_Consum_Deconhecida[[#This Row],[VALOR MÊS]]*12</f>
        <v>0</v>
      </c>
      <c r="I47" s="15">
        <f>Odon_Mat_Consum_Deconhecida[[#This Row],[VALOR UNID]]</f>
        <v>0</v>
      </c>
      <c r="J47" s="15" t="e">
        <f>#REF!</f>
        <v>#REF!</v>
      </c>
      <c r="K47" s="15" t="e">
        <f>#REF!</f>
        <v>#REF!</v>
      </c>
      <c r="L47" s="15" t="e">
        <f>#REF!</f>
        <v>#REF!</v>
      </c>
    </row>
    <row r="48" spans="1:12" s="8" customFormat="1" x14ac:dyDescent="0.25">
      <c r="A48" s="8" t="s">
        <v>126</v>
      </c>
      <c r="B48" s="21" t="s">
        <v>859</v>
      </c>
      <c r="C48" s="2">
        <v>14</v>
      </c>
      <c r="D48" s="238"/>
      <c r="E48" s="236">
        <f>Odon_Mat_Consum_Deconhecida[[#This Row],[VALOR UNID]]/12*(Odon_Mat_Consum_Dados[[#This Row],[QUANT]])</f>
        <v>0</v>
      </c>
      <c r="F48" s="236">
        <f>Odon_Mat_Consum_Deconhecida[[#This Row],[VALOR MÊS]]*12</f>
        <v>0</v>
      </c>
      <c r="I48" s="15">
        <f>Odon_Mat_Consum_Deconhecida[[#This Row],[VALOR UNID]]</f>
        <v>0</v>
      </c>
      <c r="J48" s="15" t="e">
        <f>#REF!</f>
        <v>#REF!</v>
      </c>
      <c r="K48" s="15" t="e">
        <f>#REF!</f>
        <v>#REF!</v>
      </c>
      <c r="L48" s="15" t="e">
        <f>#REF!</f>
        <v>#REF!</v>
      </c>
    </row>
    <row r="49" spans="1:12" s="8" customFormat="1" x14ac:dyDescent="0.25">
      <c r="A49" s="8" t="s">
        <v>128</v>
      </c>
      <c r="B49" s="21" t="s">
        <v>860</v>
      </c>
      <c r="C49" s="2">
        <v>14</v>
      </c>
      <c r="D49" s="172"/>
      <c r="E49" s="15">
        <f>Odon_Mat_Consum_Deconhecida[[#This Row],[VALOR UNID]]/12*(Odon_Mat_Consum_Dados[[#This Row],[QUANT]])</f>
        <v>0</v>
      </c>
      <c r="F49" s="15">
        <f>Odon_Mat_Consum_Deconhecida[[#This Row],[VALOR MÊS]]*12</f>
        <v>0</v>
      </c>
      <c r="I49" s="15">
        <f>Odon_Mat_Consum_Deconhecida[[#This Row],[VALOR UNID]]</f>
        <v>0</v>
      </c>
      <c r="J49" s="15" t="e">
        <f>#REF!</f>
        <v>#REF!</v>
      </c>
      <c r="K49" s="15" t="e">
        <f>#REF!</f>
        <v>#REF!</v>
      </c>
      <c r="L49" s="15" t="e">
        <f>#REF!</f>
        <v>#REF!</v>
      </c>
    </row>
    <row r="50" spans="1:12" s="8" customFormat="1" x14ac:dyDescent="0.25">
      <c r="A50" s="8" t="s">
        <v>131</v>
      </c>
      <c r="B50" s="21" t="s">
        <v>861</v>
      </c>
      <c r="C50" s="2">
        <v>14</v>
      </c>
      <c r="D50" s="238"/>
      <c r="E50" s="236">
        <f>Odon_Mat_Consum_Deconhecida[[#This Row],[VALOR UNID]]/12*(Odon_Mat_Consum_Dados[[#This Row],[QUANT]])</f>
        <v>0</v>
      </c>
      <c r="F50" s="236">
        <f>Odon_Mat_Consum_Deconhecida[[#This Row],[VALOR MÊS]]*12</f>
        <v>0</v>
      </c>
      <c r="I50" s="15">
        <f>Odon_Mat_Consum_Deconhecida[[#This Row],[VALOR UNID]]</f>
        <v>0</v>
      </c>
      <c r="J50" s="15" t="e">
        <f>#REF!</f>
        <v>#REF!</v>
      </c>
      <c r="K50" s="15" t="e">
        <f>#REF!</f>
        <v>#REF!</v>
      </c>
      <c r="L50" s="15" t="e">
        <f>#REF!</f>
        <v>#REF!</v>
      </c>
    </row>
    <row r="51" spans="1:12" s="8" customFormat="1" x14ac:dyDescent="0.25">
      <c r="A51" s="8" t="s">
        <v>133</v>
      </c>
      <c r="B51" s="21" t="s">
        <v>862</v>
      </c>
      <c r="C51" s="2">
        <v>14</v>
      </c>
      <c r="D51" s="172"/>
      <c r="E51" s="15">
        <f>Odon_Mat_Consum_Deconhecida[[#This Row],[VALOR UNID]]/12*(Odon_Mat_Consum_Dados[[#This Row],[QUANT]])</f>
        <v>0</v>
      </c>
      <c r="F51" s="15">
        <f>Odon_Mat_Consum_Deconhecida[[#This Row],[VALOR MÊS]]*12</f>
        <v>0</v>
      </c>
      <c r="I51" s="15">
        <f>Odon_Mat_Consum_Deconhecida[[#This Row],[VALOR UNID]]</f>
        <v>0</v>
      </c>
      <c r="J51" s="15" t="e">
        <f>#REF!</f>
        <v>#REF!</v>
      </c>
      <c r="K51" s="15" t="e">
        <f>#REF!</f>
        <v>#REF!</v>
      </c>
      <c r="L51" s="15" t="e">
        <f>#REF!</f>
        <v>#REF!</v>
      </c>
    </row>
    <row r="52" spans="1:12" s="8" customFormat="1" x14ac:dyDescent="0.25">
      <c r="A52" s="8" t="s">
        <v>135</v>
      </c>
      <c r="B52" s="21" t="s">
        <v>863</v>
      </c>
      <c r="C52" s="2">
        <v>14</v>
      </c>
      <c r="D52" s="238"/>
      <c r="E52" s="236">
        <f>Odon_Mat_Consum_Deconhecida[[#This Row],[VALOR UNID]]*Odon_Mat_Consum_Dados[[#This Row],[QUANT]]</f>
        <v>0</v>
      </c>
      <c r="F52" s="236">
        <f>Odon_Mat_Consum_Deconhecida[[#This Row],[VALOR MÊS]]*12</f>
        <v>0</v>
      </c>
      <c r="I52" s="15">
        <f>Odon_Mat_Consum_Deconhecida[[#This Row],[VALOR UNID]]</f>
        <v>0</v>
      </c>
      <c r="J52" s="15" t="e">
        <f>#REF!</f>
        <v>#REF!</v>
      </c>
      <c r="K52" s="15" t="e">
        <f>#REF!</f>
        <v>#REF!</v>
      </c>
      <c r="L52" s="15" t="e">
        <f>#REF!</f>
        <v>#REF!</v>
      </c>
    </row>
    <row r="53" spans="1:12" s="8" customFormat="1" x14ac:dyDescent="0.25">
      <c r="A53" s="8" t="s">
        <v>138</v>
      </c>
      <c r="B53" s="21" t="s">
        <v>864</v>
      </c>
      <c r="C53" s="2">
        <v>30</v>
      </c>
      <c r="D53" s="172"/>
      <c r="E53" s="15">
        <f>Odon_Mat_Consum_Deconhecida[[#This Row],[VALOR UNID]]*Odon_Mat_Consum_Dados[[#This Row],[QUANT]]</f>
        <v>0</v>
      </c>
      <c r="F53" s="15">
        <f>Odon_Mat_Consum_Deconhecida[[#This Row],[VALOR MÊS]]*12</f>
        <v>0</v>
      </c>
      <c r="I53" s="15">
        <f>Odon_Mat_Consum_Deconhecida[[#This Row],[VALOR UNID]]</f>
        <v>0</v>
      </c>
      <c r="J53" s="15" t="e">
        <f>#REF!</f>
        <v>#REF!</v>
      </c>
      <c r="K53" s="15" t="e">
        <f>#REF!</f>
        <v>#REF!</v>
      </c>
      <c r="L53" s="15" t="e">
        <f>#REF!</f>
        <v>#REF!</v>
      </c>
    </row>
    <row r="54" spans="1:12" s="8" customFormat="1" x14ac:dyDescent="0.25">
      <c r="A54" s="8" t="s">
        <v>141</v>
      </c>
      <c r="B54" s="21" t="s">
        <v>865</v>
      </c>
      <c r="C54" s="2">
        <v>44</v>
      </c>
      <c r="D54" s="238"/>
      <c r="E54" s="236">
        <f>Odon_Mat_Consum_Deconhecida[[#This Row],[VALOR UNID]]*Odon_Mat_Consum_Dados[[#This Row],[QUANT]]</f>
        <v>0</v>
      </c>
      <c r="F54" s="236">
        <f>Odon_Mat_Consum_Deconhecida[[#This Row],[VALOR MÊS]]*12</f>
        <v>0</v>
      </c>
      <c r="I54" s="15">
        <f>Odon_Mat_Consum_Deconhecida[[#This Row],[VALOR UNID]]</f>
        <v>0</v>
      </c>
      <c r="J54" s="15" t="e">
        <f>#REF!</f>
        <v>#REF!</v>
      </c>
      <c r="K54" s="15" t="e">
        <f>#REF!</f>
        <v>#REF!</v>
      </c>
      <c r="L54" s="15" t="e">
        <f>#REF!</f>
        <v>#REF!</v>
      </c>
    </row>
    <row r="55" spans="1:12" s="8" customFormat="1" ht="22.5" x14ac:dyDescent="0.25">
      <c r="A55" s="8" t="s">
        <v>143</v>
      </c>
      <c r="B55" s="21" t="s">
        <v>866</v>
      </c>
      <c r="C55" s="2">
        <v>14</v>
      </c>
      <c r="D55" s="172"/>
      <c r="E55" s="15">
        <f>Odon_Mat_Consum_Deconhecida[[#This Row],[VALOR UNID]]*Odon_Mat_Consum_Dados[[#This Row],[QUANT]]</f>
        <v>0</v>
      </c>
      <c r="F55" s="15">
        <f>Odon_Mat_Consum_Deconhecida[[#This Row],[VALOR MÊS]]*12</f>
        <v>0</v>
      </c>
      <c r="I55" s="15">
        <f>Odon_Mat_Consum_Deconhecida[[#This Row],[VALOR UNID]]</f>
        <v>0</v>
      </c>
      <c r="J55" s="15" t="e">
        <f>#REF!</f>
        <v>#REF!</v>
      </c>
      <c r="K55" s="15" t="e">
        <f>#REF!</f>
        <v>#REF!</v>
      </c>
      <c r="L55" s="15" t="e">
        <f>#REF!</f>
        <v>#REF!</v>
      </c>
    </row>
    <row r="56" spans="1:12" s="8" customFormat="1" x14ac:dyDescent="0.25">
      <c r="A56" s="8" t="s">
        <v>145</v>
      </c>
      <c r="B56" s="21" t="s">
        <v>867</v>
      </c>
      <c r="C56" s="2">
        <v>14</v>
      </c>
      <c r="D56" s="238"/>
      <c r="E56" s="236">
        <f>Odon_Mat_Consum_Deconhecida[[#This Row],[VALOR UNID]]/6*(Odon_Mat_Consum_Dados[[#This Row],[QUANT]])</f>
        <v>0</v>
      </c>
      <c r="F56" s="236">
        <f>Odon_Mat_Consum_Deconhecida[[#This Row],[VALOR MÊS]]*12</f>
        <v>0</v>
      </c>
      <c r="I56" s="15">
        <f>Odon_Mat_Consum_Deconhecida[[#This Row],[VALOR UNID]]</f>
        <v>0</v>
      </c>
      <c r="J56" s="15" t="e">
        <f>#REF!</f>
        <v>#REF!</v>
      </c>
      <c r="K56" s="15" t="e">
        <f>#REF!</f>
        <v>#REF!</v>
      </c>
      <c r="L56" s="15" t="e">
        <f>#REF!</f>
        <v>#REF!</v>
      </c>
    </row>
    <row r="57" spans="1:12" s="8" customFormat="1" x14ac:dyDescent="0.25">
      <c r="A57" s="8" t="s">
        <v>147</v>
      </c>
      <c r="B57" s="21" t="s">
        <v>868</v>
      </c>
      <c r="C57" s="2">
        <v>14</v>
      </c>
      <c r="D57" s="172"/>
      <c r="E57" s="15">
        <f>Odon_Mat_Consum_Deconhecida[[#This Row],[VALOR UNID]]/6*(Odon_Mat_Consum_Dados[[#This Row],[QUANT]])</f>
        <v>0</v>
      </c>
      <c r="F57" s="15">
        <f>Odon_Mat_Consum_Deconhecida[[#This Row],[VALOR MÊS]]*12</f>
        <v>0</v>
      </c>
      <c r="I57" s="15">
        <f>Odon_Mat_Consum_Deconhecida[[#This Row],[VALOR UNID]]</f>
        <v>0</v>
      </c>
      <c r="J57" s="15" t="e">
        <f>#REF!</f>
        <v>#REF!</v>
      </c>
      <c r="K57" s="15" t="e">
        <f>#REF!</f>
        <v>#REF!</v>
      </c>
      <c r="L57" s="15" t="e">
        <f>#REF!</f>
        <v>#REF!</v>
      </c>
    </row>
    <row r="58" spans="1:12" s="8" customFormat="1" x14ac:dyDescent="0.25">
      <c r="A58" s="8" t="s">
        <v>149</v>
      </c>
      <c r="B58" s="21" t="s">
        <v>869</v>
      </c>
      <c r="C58" s="2">
        <v>14</v>
      </c>
      <c r="D58" s="238"/>
      <c r="E58" s="236">
        <f>Odon_Mat_Consum_Deconhecida[[#This Row],[VALOR UNID]]/2*(Odon_Mat_Consum_Dados[[#This Row],[QUANT]])</f>
        <v>0</v>
      </c>
      <c r="F58" s="236">
        <f>Odon_Mat_Consum_Deconhecida[[#This Row],[VALOR MÊS]]*12</f>
        <v>0</v>
      </c>
      <c r="I58" s="15">
        <f>Odon_Mat_Consum_Deconhecida[[#This Row],[VALOR UNID]]</f>
        <v>0</v>
      </c>
      <c r="J58" s="15" t="e">
        <f>#REF!</f>
        <v>#REF!</v>
      </c>
      <c r="K58" s="15" t="e">
        <f>#REF!</f>
        <v>#REF!</v>
      </c>
      <c r="L58" s="15" t="e">
        <f>#REF!</f>
        <v>#REF!</v>
      </c>
    </row>
    <row r="59" spans="1:12" s="8" customFormat="1" ht="22.5" x14ac:dyDescent="0.25">
      <c r="A59" s="8" t="s">
        <v>152</v>
      </c>
      <c r="B59" s="21" t="s">
        <v>870</v>
      </c>
      <c r="C59" s="2">
        <v>28</v>
      </c>
      <c r="D59" s="172"/>
      <c r="E59" s="15">
        <f>Odon_Mat_Consum_Deconhecida[[#This Row],[VALOR UNID]]/12*(Odon_Mat_Consum_Dados[[#This Row],[QUANT]])</f>
        <v>0</v>
      </c>
      <c r="F59" s="15">
        <f>Odon_Mat_Consum_Deconhecida[[#This Row],[VALOR MÊS]]*12</f>
        <v>0</v>
      </c>
      <c r="I59" s="15">
        <f>Odon_Mat_Consum_Deconhecida[[#This Row],[VALOR UNID]]</f>
        <v>0</v>
      </c>
      <c r="J59" s="15" t="e">
        <f>#REF!</f>
        <v>#REF!</v>
      </c>
      <c r="K59" s="15" t="e">
        <f>#REF!</f>
        <v>#REF!</v>
      </c>
      <c r="L59" s="15" t="e">
        <f>#REF!</f>
        <v>#REF!</v>
      </c>
    </row>
    <row r="60" spans="1:12" s="8" customFormat="1" x14ac:dyDescent="0.25">
      <c r="A60" s="8" t="s">
        <v>155</v>
      </c>
      <c r="B60" s="21" t="s">
        <v>871</v>
      </c>
      <c r="C60" s="2">
        <v>14</v>
      </c>
      <c r="D60" s="238"/>
      <c r="E60" s="236">
        <f>Odon_Mat_Consum_Deconhecida[[#This Row],[VALOR UNID]]/6*(Odon_Mat_Consum_Dados[[#This Row],[QUANT]])</f>
        <v>0</v>
      </c>
      <c r="F60" s="236">
        <f>Odon_Mat_Consum_Deconhecida[[#This Row],[VALOR MÊS]]*12</f>
        <v>0</v>
      </c>
      <c r="I60" s="15">
        <f>Odon_Mat_Consum_Deconhecida[[#This Row],[VALOR UNID]]</f>
        <v>0</v>
      </c>
      <c r="J60" s="15" t="e">
        <f>#REF!</f>
        <v>#REF!</v>
      </c>
      <c r="K60" s="15" t="e">
        <f>#REF!</f>
        <v>#REF!</v>
      </c>
      <c r="L60" s="15" t="e">
        <f>#REF!</f>
        <v>#REF!</v>
      </c>
    </row>
    <row r="61" spans="1:12" s="8" customFormat="1" x14ac:dyDescent="0.25">
      <c r="A61" s="8" t="s">
        <v>158</v>
      </c>
      <c r="B61" s="21" t="s">
        <v>872</v>
      </c>
      <c r="C61" s="2">
        <v>14</v>
      </c>
      <c r="D61" s="172"/>
      <c r="E61" s="15">
        <f>Odon_Mat_Consum_Deconhecida[[#This Row],[VALOR UNID]]/12*(Odon_Mat_Consum_Dados[[#This Row],[QUANT]])</f>
        <v>0</v>
      </c>
      <c r="F61" s="15">
        <f>Odon_Mat_Consum_Deconhecida[[#This Row],[VALOR MÊS]]*12</f>
        <v>0</v>
      </c>
      <c r="I61" s="15">
        <f>Odon_Mat_Consum_Deconhecida[[#This Row],[VALOR UNID]]</f>
        <v>0</v>
      </c>
      <c r="J61" s="15" t="e">
        <f>#REF!</f>
        <v>#REF!</v>
      </c>
      <c r="K61" s="15" t="e">
        <f>#REF!</f>
        <v>#REF!</v>
      </c>
      <c r="L61" s="15" t="e">
        <f>#REF!</f>
        <v>#REF!</v>
      </c>
    </row>
    <row r="62" spans="1:12" s="8" customFormat="1" x14ac:dyDescent="0.25">
      <c r="A62" s="8" t="s">
        <v>160</v>
      </c>
      <c r="B62" s="21" t="s">
        <v>873</v>
      </c>
      <c r="C62" s="2">
        <v>14</v>
      </c>
      <c r="D62" s="238"/>
      <c r="E62" s="236">
        <f>Odon_Mat_Consum_Deconhecida[[#This Row],[VALOR UNID]]/12*(Odon_Mat_Consum_Dados[[#This Row],[QUANT]])</f>
        <v>0</v>
      </c>
      <c r="F62" s="236">
        <f>Odon_Mat_Consum_Deconhecida[[#This Row],[VALOR MÊS]]*12</f>
        <v>0</v>
      </c>
      <c r="I62" s="15">
        <f>Odon_Mat_Consum_Deconhecida[[#This Row],[VALOR UNID]]</f>
        <v>0</v>
      </c>
      <c r="J62" s="15" t="e">
        <f>#REF!</f>
        <v>#REF!</v>
      </c>
      <c r="K62" s="15" t="e">
        <f>#REF!</f>
        <v>#REF!</v>
      </c>
      <c r="L62" s="15" t="e">
        <f>#REF!</f>
        <v>#REF!</v>
      </c>
    </row>
    <row r="63" spans="1:12" s="8" customFormat="1" x14ac:dyDescent="0.25">
      <c r="A63" s="8" t="s">
        <v>164</v>
      </c>
      <c r="B63" s="21" t="s">
        <v>874</v>
      </c>
      <c r="C63" s="2">
        <v>14</v>
      </c>
      <c r="D63" s="172"/>
      <c r="E63" s="15">
        <f>Odon_Mat_Consum_Deconhecida[[#This Row],[VALOR UNID]]/12*(Odon_Mat_Consum_Dados[[#This Row],[QUANT]])</f>
        <v>0</v>
      </c>
      <c r="F63" s="15">
        <f>Odon_Mat_Consum_Deconhecida[[#This Row],[VALOR MÊS]]*12</f>
        <v>0</v>
      </c>
      <c r="I63" s="15">
        <f>Odon_Mat_Consum_Deconhecida[[#This Row],[VALOR UNID]]</f>
        <v>0</v>
      </c>
      <c r="J63" s="15" t="e">
        <f>#REF!</f>
        <v>#REF!</v>
      </c>
      <c r="K63" s="15" t="e">
        <f>#REF!</f>
        <v>#REF!</v>
      </c>
      <c r="L63" s="15" t="e">
        <f>#REF!</f>
        <v>#REF!</v>
      </c>
    </row>
    <row r="64" spans="1:12" s="8" customFormat="1" x14ac:dyDescent="0.25">
      <c r="A64" s="8" t="s">
        <v>166</v>
      </c>
      <c r="B64" s="21" t="s">
        <v>875</v>
      </c>
      <c r="C64" s="2">
        <v>14</v>
      </c>
      <c r="D64" s="238"/>
      <c r="E64" s="236">
        <f>Odon_Mat_Consum_Deconhecida[[#This Row],[VALOR UNID]]/3*(Odon_Mat_Consum_Dados[[#This Row],[QUANT]])</f>
        <v>0</v>
      </c>
      <c r="F64" s="236">
        <f>Odon_Mat_Consum_Deconhecida[[#This Row],[VALOR MÊS]]*12</f>
        <v>0</v>
      </c>
      <c r="I64" s="15">
        <f>Odon_Mat_Consum_Deconhecida[[#This Row],[VALOR UNID]]</f>
        <v>0</v>
      </c>
      <c r="J64" s="15" t="e">
        <f>#REF!</f>
        <v>#REF!</v>
      </c>
      <c r="K64" s="15" t="e">
        <f>#REF!</f>
        <v>#REF!</v>
      </c>
      <c r="L64" s="15" t="e">
        <f>#REF!</f>
        <v>#REF!</v>
      </c>
    </row>
    <row r="65" spans="1:12" s="8" customFormat="1" x14ac:dyDescent="0.25">
      <c r="A65" s="8" t="s">
        <v>168</v>
      </c>
      <c r="B65" s="21" t="s">
        <v>876</v>
      </c>
      <c r="C65" s="2">
        <v>14</v>
      </c>
      <c r="D65" s="172"/>
      <c r="E65" s="15">
        <f>Odon_Mat_Consum_Deconhecida[[#This Row],[VALOR UNID]]/3*(Odon_Mat_Consum_Dados[[#This Row],[QUANT]])</f>
        <v>0</v>
      </c>
      <c r="F65" s="15">
        <f>Odon_Mat_Consum_Deconhecida[[#This Row],[VALOR MÊS]]*12</f>
        <v>0</v>
      </c>
      <c r="I65" s="15">
        <f>Odon_Mat_Consum_Deconhecida[[#This Row],[VALOR UNID]]</f>
        <v>0</v>
      </c>
      <c r="J65" s="15" t="e">
        <f>#REF!</f>
        <v>#REF!</v>
      </c>
      <c r="K65" s="15" t="e">
        <f>#REF!</f>
        <v>#REF!</v>
      </c>
      <c r="L65" s="15" t="e">
        <f>#REF!</f>
        <v>#REF!</v>
      </c>
    </row>
    <row r="66" spans="1:12" s="8" customFormat="1" x14ac:dyDescent="0.25">
      <c r="A66" s="8" t="s">
        <v>170</v>
      </c>
      <c r="B66" s="21" t="s">
        <v>877</v>
      </c>
      <c r="C66" s="2">
        <v>14</v>
      </c>
      <c r="D66" s="238"/>
      <c r="E66" s="236">
        <f>Odon_Mat_Consum_Deconhecida[[#This Row],[VALOR UNID]]/12*(Odon_Mat_Consum_Dados[[#This Row],[QUANT]])</f>
        <v>0</v>
      </c>
      <c r="F66" s="236">
        <f>Odon_Mat_Consum_Deconhecida[[#This Row],[VALOR MÊS]]*12</f>
        <v>0</v>
      </c>
      <c r="I66" s="15">
        <f>Odon_Mat_Consum_Deconhecida[[#This Row],[VALOR UNID]]</f>
        <v>0</v>
      </c>
      <c r="J66" s="15" t="e">
        <f>#REF!</f>
        <v>#REF!</v>
      </c>
      <c r="K66" s="15" t="e">
        <f>#REF!</f>
        <v>#REF!</v>
      </c>
      <c r="L66" s="15" t="e">
        <f>#REF!</f>
        <v>#REF!</v>
      </c>
    </row>
    <row r="67" spans="1:12" s="8" customFormat="1" x14ac:dyDescent="0.25">
      <c r="A67" s="8" t="s">
        <v>174</v>
      </c>
      <c r="B67" s="21" t="s">
        <v>878</v>
      </c>
      <c r="C67" s="2">
        <v>14</v>
      </c>
      <c r="D67" s="172"/>
      <c r="E67" s="15">
        <f>Odon_Mat_Consum_Deconhecida[[#This Row],[VALOR UNID]]/12*(Odon_Mat_Consum_Dados[[#This Row],[QUANT]])</f>
        <v>0</v>
      </c>
      <c r="F67" s="15">
        <f>Odon_Mat_Consum_Deconhecida[[#This Row],[VALOR MÊS]]*12</f>
        <v>0</v>
      </c>
      <c r="I67" s="15">
        <f>Odon_Mat_Consum_Deconhecida[[#This Row],[VALOR UNID]]</f>
        <v>0</v>
      </c>
      <c r="J67" s="15" t="e">
        <f>#REF!</f>
        <v>#REF!</v>
      </c>
      <c r="K67" s="15" t="e">
        <f>#REF!</f>
        <v>#REF!</v>
      </c>
      <c r="L67" s="15" t="e">
        <f>#REF!</f>
        <v>#REF!</v>
      </c>
    </row>
    <row r="68" spans="1:12" s="8" customFormat="1" x14ac:dyDescent="0.25">
      <c r="A68" s="8" t="s">
        <v>176</v>
      </c>
      <c r="B68" s="21" t="s">
        <v>879</v>
      </c>
      <c r="C68" s="2">
        <v>28</v>
      </c>
      <c r="D68" s="238"/>
      <c r="E68" s="236">
        <f>Odon_Mat_Consum_Deconhecida[[#This Row],[VALOR UNID]]/12*(Odon_Mat_Consum_Dados[[#This Row],[QUANT]])</f>
        <v>0</v>
      </c>
      <c r="F68" s="236">
        <f>Odon_Mat_Consum_Deconhecida[[#This Row],[VALOR MÊS]]*12</f>
        <v>0</v>
      </c>
      <c r="I68" s="15">
        <f>Odon_Mat_Consum_Deconhecida[[#This Row],[VALOR UNID]]</f>
        <v>0</v>
      </c>
      <c r="J68" s="15" t="e">
        <f>#REF!</f>
        <v>#REF!</v>
      </c>
      <c r="K68" s="15" t="e">
        <f>#REF!</f>
        <v>#REF!</v>
      </c>
      <c r="L68" s="15" t="e">
        <f>#REF!</f>
        <v>#REF!</v>
      </c>
    </row>
    <row r="69" spans="1:12" s="8" customFormat="1" x14ac:dyDescent="0.25">
      <c r="A69" s="8" t="s">
        <v>177</v>
      </c>
      <c r="B69" s="21" t="s">
        <v>880</v>
      </c>
      <c r="C69" s="2">
        <v>28</v>
      </c>
      <c r="D69" s="172"/>
      <c r="E69" s="15">
        <f>Odon_Mat_Consum_Deconhecida[[#This Row],[VALOR UNID]]/12*(Odon_Mat_Consum_Dados[[#This Row],[QUANT]])</f>
        <v>0</v>
      </c>
      <c r="F69" s="15">
        <f>Odon_Mat_Consum_Deconhecida[[#This Row],[VALOR MÊS]]*12</f>
        <v>0</v>
      </c>
      <c r="I69" s="15">
        <f>Odon_Mat_Consum_Deconhecida[[#This Row],[VALOR UNID]]</f>
        <v>0</v>
      </c>
      <c r="J69" s="15" t="e">
        <f>#REF!</f>
        <v>#REF!</v>
      </c>
      <c r="K69" s="15" t="e">
        <f>#REF!</f>
        <v>#REF!</v>
      </c>
      <c r="L69" s="15" t="e">
        <f>#REF!</f>
        <v>#REF!</v>
      </c>
    </row>
    <row r="70" spans="1:12" s="8" customFormat="1" ht="45" x14ac:dyDescent="0.25">
      <c r="A70" s="8" t="s">
        <v>179</v>
      </c>
      <c r="B70" s="21" t="s">
        <v>881</v>
      </c>
      <c r="C70" s="2">
        <v>14</v>
      </c>
      <c r="D70" s="238"/>
      <c r="E70" s="236">
        <f>Odon_Mat_Consum_Deconhecida[[#This Row],[VALOR UNID]]*Odon_Mat_Consum_Dados[[#This Row],[QUANT]]</f>
        <v>0</v>
      </c>
      <c r="F70" s="236">
        <f>Odon_Mat_Consum_Deconhecida[[#This Row],[VALOR MÊS]]*12</f>
        <v>0</v>
      </c>
      <c r="I70" s="15">
        <f>Odon_Mat_Consum_Deconhecida[[#This Row],[VALOR UNID]]</f>
        <v>0</v>
      </c>
      <c r="J70" s="15" t="e">
        <f>#REF!</f>
        <v>#REF!</v>
      </c>
      <c r="K70" s="15" t="e">
        <f>#REF!</f>
        <v>#REF!</v>
      </c>
      <c r="L70" s="15" t="e">
        <f>#REF!</f>
        <v>#REF!</v>
      </c>
    </row>
    <row r="71" spans="1:12" s="8" customFormat="1" ht="45" x14ac:dyDescent="0.25">
      <c r="A71" s="8" t="s">
        <v>182</v>
      </c>
      <c r="B71" s="21" t="s">
        <v>882</v>
      </c>
      <c r="C71" s="2">
        <v>14</v>
      </c>
      <c r="D71" s="172"/>
      <c r="E71" s="15">
        <f>Odon_Mat_Consum_Deconhecida[[#This Row],[VALOR UNID]]*Odon_Mat_Consum_Dados[[#This Row],[QUANT]]</f>
        <v>0</v>
      </c>
      <c r="F71" s="15">
        <f>Odon_Mat_Consum_Deconhecida[[#This Row],[VALOR MÊS]]*12</f>
        <v>0</v>
      </c>
      <c r="I71" s="15">
        <f>Odon_Mat_Consum_Deconhecida[[#This Row],[VALOR UNID]]</f>
        <v>0</v>
      </c>
      <c r="J71" s="15" t="e">
        <f>#REF!</f>
        <v>#REF!</v>
      </c>
      <c r="K71" s="15" t="e">
        <f>#REF!</f>
        <v>#REF!</v>
      </c>
      <c r="L71" s="15" t="e">
        <f>#REF!</f>
        <v>#REF!</v>
      </c>
    </row>
    <row r="72" spans="1:12" s="8" customFormat="1" ht="45" x14ac:dyDescent="0.25">
      <c r="A72" s="8" t="s">
        <v>186</v>
      </c>
      <c r="B72" s="21" t="s">
        <v>883</v>
      </c>
      <c r="C72" s="2">
        <v>14</v>
      </c>
      <c r="D72" s="238"/>
      <c r="E72" s="236">
        <f>Odon_Mat_Consum_Deconhecida[[#This Row],[VALOR UNID]]*Odon_Mat_Consum_Dados[[#This Row],[QUANT]]</f>
        <v>0</v>
      </c>
      <c r="F72" s="236">
        <f>Odon_Mat_Consum_Deconhecida[[#This Row],[VALOR MÊS]]*12</f>
        <v>0</v>
      </c>
      <c r="I72" s="15">
        <f>Odon_Mat_Consum_Deconhecida[[#This Row],[VALOR UNID]]</f>
        <v>0</v>
      </c>
      <c r="J72" s="15" t="e">
        <f>#REF!</f>
        <v>#REF!</v>
      </c>
      <c r="K72" s="15" t="e">
        <f>#REF!</f>
        <v>#REF!</v>
      </c>
      <c r="L72" s="15" t="e">
        <f>#REF!</f>
        <v>#REF!</v>
      </c>
    </row>
    <row r="73" spans="1:12" s="8" customFormat="1" ht="45" x14ac:dyDescent="0.25">
      <c r="A73" s="8" t="s">
        <v>189</v>
      </c>
      <c r="B73" s="21" t="s">
        <v>884</v>
      </c>
      <c r="C73" s="2">
        <v>14</v>
      </c>
      <c r="D73" s="172"/>
      <c r="E73" s="15">
        <f>Odon_Mat_Consum_Deconhecida[[#This Row],[VALOR UNID]]*Odon_Mat_Consum_Dados[[#This Row],[QUANT]]</f>
        <v>0</v>
      </c>
      <c r="F73" s="15">
        <f>Odon_Mat_Consum_Deconhecida[[#This Row],[VALOR MÊS]]*12</f>
        <v>0</v>
      </c>
      <c r="I73" s="15">
        <f>Odon_Mat_Consum_Deconhecida[[#This Row],[VALOR UNID]]</f>
        <v>0</v>
      </c>
      <c r="J73" s="15" t="e">
        <f>#REF!</f>
        <v>#REF!</v>
      </c>
      <c r="K73" s="15" t="e">
        <f>#REF!</f>
        <v>#REF!</v>
      </c>
      <c r="L73" s="15" t="e">
        <f>#REF!</f>
        <v>#REF!</v>
      </c>
    </row>
    <row r="74" spans="1:12" s="8" customFormat="1" ht="45" x14ac:dyDescent="0.25">
      <c r="A74" s="8" t="s">
        <v>192</v>
      </c>
      <c r="B74" s="21" t="s">
        <v>885</v>
      </c>
      <c r="C74" s="2">
        <v>14</v>
      </c>
      <c r="D74" s="238"/>
      <c r="E74" s="236">
        <f>Odon_Mat_Consum_Deconhecida[[#This Row],[VALOR UNID]]*Odon_Mat_Consum_Dados[[#This Row],[QUANT]]</f>
        <v>0</v>
      </c>
      <c r="F74" s="236">
        <f>Odon_Mat_Consum_Deconhecida[[#This Row],[VALOR MÊS]]*12</f>
        <v>0</v>
      </c>
      <c r="I74" s="15">
        <f>Odon_Mat_Consum_Deconhecida[[#This Row],[VALOR UNID]]</f>
        <v>0</v>
      </c>
      <c r="J74" s="15" t="e">
        <f>#REF!</f>
        <v>#REF!</v>
      </c>
      <c r="K74" s="15" t="e">
        <f>#REF!</f>
        <v>#REF!</v>
      </c>
      <c r="L74" s="15" t="e">
        <f>#REF!</f>
        <v>#REF!</v>
      </c>
    </row>
    <row r="75" spans="1:12" s="8" customFormat="1" ht="45" x14ac:dyDescent="0.25">
      <c r="A75" s="8" t="s">
        <v>195</v>
      </c>
      <c r="B75" s="21" t="s">
        <v>886</v>
      </c>
      <c r="C75" s="2">
        <v>14</v>
      </c>
      <c r="D75" s="172"/>
      <c r="E75" s="15">
        <f>Odon_Mat_Consum_Deconhecida[[#This Row],[VALOR UNID]]*Odon_Mat_Consum_Dados[[#This Row],[QUANT]]</f>
        <v>0</v>
      </c>
      <c r="F75" s="15">
        <f>Odon_Mat_Consum_Deconhecida[[#This Row],[VALOR MÊS]]*12</f>
        <v>0</v>
      </c>
      <c r="I75" s="15">
        <f>Odon_Mat_Consum_Deconhecida[[#This Row],[VALOR UNID]]</f>
        <v>0</v>
      </c>
      <c r="J75" s="15" t="e">
        <f>#REF!</f>
        <v>#REF!</v>
      </c>
      <c r="K75" s="15" t="e">
        <f>#REF!</f>
        <v>#REF!</v>
      </c>
      <c r="L75" s="15" t="e">
        <f>#REF!</f>
        <v>#REF!</v>
      </c>
    </row>
    <row r="76" spans="1:12" s="8" customFormat="1" ht="45" x14ac:dyDescent="0.25">
      <c r="A76" s="8" t="s">
        <v>196</v>
      </c>
      <c r="B76" s="21" t="s">
        <v>887</v>
      </c>
      <c r="C76" s="2">
        <v>14</v>
      </c>
      <c r="D76" s="238"/>
      <c r="E76" s="236">
        <f>Odon_Mat_Consum_Deconhecida[[#This Row],[VALOR UNID]]*Odon_Mat_Consum_Dados[[#This Row],[QUANT]]</f>
        <v>0</v>
      </c>
      <c r="F76" s="236">
        <f>Odon_Mat_Consum_Deconhecida[[#This Row],[VALOR MÊS]]*12</f>
        <v>0</v>
      </c>
      <c r="I76" s="15">
        <f>Odon_Mat_Consum_Deconhecida[[#This Row],[VALOR UNID]]</f>
        <v>0</v>
      </c>
      <c r="J76" s="15" t="e">
        <f>#REF!</f>
        <v>#REF!</v>
      </c>
      <c r="K76" s="15" t="e">
        <f>#REF!</f>
        <v>#REF!</v>
      </c>
      <c r="L76" s="15" t="e">
        <f>#REF!</f>
        <v>#REF!</v>
      </c>
    </row>
    <row r="77" spans="1:12" s="8" customFormat="1" x14ac:dyDescent="0.25">
      <c r="A77" s="8" t="s">
        <v>200</v>
      </c>
      <c r="B77" s="21" t="s">
        <v>888</v>
      </c>
      <c r="C77" s="2">
        <v>14</v>
      </c>
      <c r="D77" s="172"/>
      <c r="E77" s="15">
        <f>Odon_Mat_Consum_Deconhecida[[#This Row],[VALOR UNID]]*Odon_Mat_Consum_Dados[[#This Row],[QUANT]]</f>
        <v>0</v>
      </c>
      <c r="F77" s="15">
        <f>Odon_Mat_Consum_Deconhecida[[#This Row],[VALOR MÊS]]*12</f>
        <v>0</v>
      </c>
      <c r="I77" s="15">
        <f>Odon_Mat_Consum_Deconhecida[[#This Row],[VALOR UNID]]</f>
        <v>0</v>
      </c>
      <c r="J77" s="15" t="e">
        <f>#REF!</f>
        <v>#REF!</v>
      </c>
      <c r="K77" s="15" t="e">
        <f>#REF!</f>
        <v>#REF!</v>
      </c>
      <c r="L77" s="15" t="e">
        <f>#REF!</f>
        <v>#REF!</v>
      </c>
    </row>
    <row r="78" spans="1:12" s="8" customFormat="1" x14ac:dyDescent="0.25">
      <c r="A78" s="8" t="s">
        <v>202</v>
      </c>
      <c r="B78" s="21" t="s">
        <v>889</v>
      </c>
      <c r="C78" s="2">
        <v>14</v>
      </c>
      <c r="D78" s="238"/>
      <c r="E78" s="236">
        <f>Odon_Mat_Consum_Deconhecida[[#This Row],[VALOR UNID]]*Odon_Mat_Consum_Dados[[#This Row],[QUANT]]</f>
        <v>0</v>
      </c>
      <c r="F78" s="236">
        <f>Odon_Mat_Consum_Deconhecida[[#This Row],[VALOR MÊS]]*12</f>
        <v>0</v>
      </c>
      <c r="I78" s="15">
        <f>Odon_Mat_Consum_Deconhecida[[#This Row],[VALOR UNID]]</f>
        <v>0</v>
      </c>
      <c r="J78" s="15" t="e">
        <f>#REF!</f>
        <v>#REF!</v>
      </c>
      <c r="K78" s="15" t="e">
        <f>#REF!</f>
        <v>#REF!</v>
      </c>
      <c r="L78" s="15" t="e">
        <f>#REF!</f>
        <v>#REF!</v>
      </c>
    </row>
    <row r="79" spans="1:12" s="8" customFormat="1" x14ac:dyDescent="0.25">
      <c r="A79" s="8" t="s">
        <v>204</v>
      </c>
      <c r="B79" s="21" t="s">
        <v>890</v>
      </c>
      <c r="C79" s="2">
        <v>14</v>
      </c>
      <c r="D79" s="172"/>
      <c r="E79" s="15">
        <f>Odon_Mat_Consum_Deconhecida[[#This Row],[VALOR UNID]]/12*(Odon_Mat_Consum_Dados[[#This Row],[QUANT]])</f>
        <v>0</v>
      </c>
      <c r="F79" s="15">
        <f>Odon_Mat_Consum_Deconhecida[[#This Row],[VALOR MÊS]]*12</f>
        <v>0</v>
      </c>
      <c r="I79" s="15">
        <f>Odon_Mat_Consum_Deconhecida[[#This Row],[VALOR UNID]]</f>
        <v>0</v>
      </c>
      <c r="J79" s="15" t="e">
        <f>#REF!</f>
        <v>#REF!</v>
      </c>
      <c r="K79" s="15" t="e">
        <f>#REF!</f>
        <v>#REF!</v>
      </c>
      <c r="L79" s="15" t="e">
        <f>#REF!</f>
        <v>#REF!</v>
      </c>
    </row>
    <row r="80" spans="1:12" s="8" customFormat="1" x14ac:dyDescent="0.25">
      <c r="A80" s="8" t="s">
        <v>206</v>
      </c>
      <c r="B80" s="21" t="s">
        <v>891</v>
      </c>
      <c r="C80" s="2">
        <v>28</v>
      </c>
      <c r="D80" s="238"/>
      <c r="E80" s="236">
        <f>Odon_Mat_Consum_Deconhecida[[#This Row],[VALOR UNID]]*Odon_Mat_Consum_Dados[[#This Row],[QUANT]]</f>
        <v>0</v>
      </c>
      <c r="F80" s="236">
        <f>Odon_Mat_Consum_Deconhecida[[#This Row],[VALOR MÊS]]*12</f>
        <v>0</v>
      </c>
      <c r="I80" s="15">
        <f>Odon_Mat_Consum_Deconhecida[[#This Row],[VALOR UNID]]</f>
        <v>0</v>
      </c>
      <c r="J80" s="15" t="e">
        <f>#REF!</f>
        <v>#REF!</v>
      </c>
      <c r="K80" s="15" t="e">
        <f>#REF!</f>
        <v>#REF!</v>
      </c>
      <c r="L80" s="15" t="e">
        <f>#REF!</f>
        <v>#REF!</v>
      </c>
    </row>
    <row r="81" spans="1:12" s="8" customFormat="1" x14ac:dyDescent="0.25">
      <c r="A81" s="8" t="s">
        <v>208</v>
      </c>
      <c r="B81" s="21" t="s">
        <v>892</v>
      </c>
      <c r="C81" s="2">
        <v>14</v>
      </c>
      <c r="D81" s="172"/>
      <c r="E81" s="15">
        <f>Odon_Mat_Consum_Deconhecida[[#This Row],[VALOR UNID]]/12*(Odon_Mat_Consum_Dados[[#This Row],[QUANT]])</f>
        <v>0</v>
      </c>
      <c r="F81" s="15">
        <f>Odon_Mat_Consum_Deconhecida[[#This Row],[VALOR MÊS]]*12</f>
        <v>0</v>
      </c>
      <c r="I81" s="15">
        <f>Odon_Mat_Consum_Deconhecida[[#This Row],[VALOR UNID]]</f>
        <v>0</v>
      </c>
      <c r="J81" s="15" t="e">
        <f>#REF!</f>
        <v>#REF!</v>
      </c>
      <c r="K81" s="15" t="e">
        <f>#REF!</f>
        <v>#REF!</v>
      </c>
      <c r="L81" s="15" t="e">
        <f>#REF!</f>
        <v>#REF!</v>
      </c>
    </row>
    <row r="82" spans="1:12" s="8" customFormat="1" x14ac:dyDescent="0.25">
      <c r="A82" s="8" t="s">
        <v>210</v>
      </c>
      <c r="B82" s="21" t="s">
        <v>893</v>
      </c>
      <c r="C82" s="2">
        <v>24</v>
      </c>
      <c r="D82" s="238"/>
      <c r="E82" s="236">
        <f>Odon_Mat_Consum_Deconhecida[[#This Row],[VALOR UNID]]*Odon_Mat_Consum_Dados[[#This Row],[QUANT]]</f>
        <v>0</v>
      </c>
      <c r="F82" s="236">
        <f>Odon_Mat_Consum_Deconhecida[[#This Row],[VALOR MÊS]]*12</f>
        <v>0</v>
      </c>
      <c r="I82" s="15">
        <f>Odon_Mat_Consum_Deconhecida[[#This Row],[VALOR UNID]]</f>
        <v>0</v>
      </c>
      <c r="J82" s="15" t="e">
        <f>#REF!</f>
        <v>#REF!</v>
      </c>
      <c r="K82" s="15" t="e">
        <f>#REF!</f>
        <v>#REF!</v>
      </c>
      <c r="L82" s="15" t="e">
        <f>#REF!</f>
        <v>#REF!</v>
      </c>
    </row>
    <row r="83" spans="1:12" s="8" customFormat="1" x14ac:dyDescent="0.25">
      <c r="A83" s="8" t="s">
        <v>212</v>
      </c>
      <c r="B83" s="21" t="s">
        <v>894</v>
      </c>
      <c r="C83" s="2">
        <v>68</v>
      </c>
      <c r="D83" s="172"/>
      <c r="E83" s="15">
        <f>Odon_Mat_Consum_Deconhecida[[#This Row],[VALOR UNID]]*Odon_Mat_Consum_Dados[[#This Row],[QUANT]]</f>
        <v>0</v>
      </c>
      <c r="F83" s="15">
        <f>Odon_Mat_Consum_Deconhecida[[#This Row],[VALOR MÊS]]*12</f>
        <v>0</v>
      </c>
      <c r="I83" s="15">
        <f>Odon_Mat_Consum_Deconhecida[[#This Row],[VALOR UNID]]</f>
        <v>0</v>
      </c>
      <c r="J83" s="15" t="e">
        <f>#REF!</f>
        <v>#REF!</v>
      </c>
      <c r="K83" s="15" t="e">
        <f>#REF!</f>
        <v>#REF!</v>
      </c>
      <c r="L83" s="15" t="e">
        <f>#REF!</f>
        <v>#REF!</v>
      </c>
    </row>
    <row r="84" spans="1:12" s="8" customFormat="1" x14ac:dyDescent="0.25">
      <c r="A84" s="8" t="s">
        <v>216</v>
      </c>
      <c r="B84" s="21" t="s">
        <v>895</v>
      </c>
      <c r="C84" s="2">
        <v>14</v>
      </c>
      <c r="D84" s="238"/>
      <c r="E84" s="236">
        <f>Odon_Mat_Consum_Deconhecida[[#This Row],[VALOR UNID]]/3*(Odon_Mat_Consum_Dados[[#This Row],[QUANT]])</f>
        <v>0</v>
      </c>
      <c r="F84" s="236">
        <f>Odon_Mat_Consum_Deconhecida[[#This Row],[VALOR MÊS]]*12</f>
        <v>0</v>
      </c>
      <c r="I84" s="15">
        <f>Odon_Mat_Consum_Deconhecida[[#This Row],[VALOR UNID]]</f>
        <v>0</v>
      </c>
      <c r="J84" s="15" t="e">
        <f>#REF!</f>
        <v>#REF!</v>
      </c>
      <c r="K84" s="15" t="e">
        <f>#REF!</f>
        <v>#REF!</v>
      </c>
      <c r="L84" s="15" t="e">
        <f>#REF!</f>
        <v>#REF!</v>
      </c>
    </row>
    <row r="85" spans="1:12" s="8" customFormat="1" ht="22.5" x14ac:dyDescent="0.25">
      <c r="A85" s="8" t="s">
        <v>219</v>
      </c>
      <c r="B85" s="21" t="s">
        <v>1131</v>
      </c>
      <c r="C85" s="2">
        <v>14</v>
      </c>
      <c r="D85" s="172"/>
      <c r="E85" s="15">
        <f>Odon_Mat_Consum_Deconhecida[[#This Row],[VALOR UNID]]/3*(Odon_Mat_Consum_Dados[[#This Row],[QUANT]])</f>
        <v>0</v>
      </c>
      <c r="F85" s="15">
        <f>Odon_Mat_Consum_Deconhecida[[#This Row],[VALOR MÊS]]*12</f>
        <v>0</v>
      </c>
      <c r="I85" s="15">
        <f>Odon_Mat_Consum_Deconhecida[[#This Row],[VALOR UNID]]</f>
        <v>0</v>
      </c>
      <c r="J85" s="15" t="e">
        <f>#REF!</f>
        <v>#REF!</v>
      </c>
      <c r="K85" s="15" t="e">
        <f>#REF!</f>
        <v>#REF!</v>
      </c>
      <c r="L85" s="15" t="e">
        <f>#REF!</f>
        <v>#REF!</v>
      </c>
    </row>
    <row r="86" spans="1:12" s="8" customFormat="1" x14ac:dyDescent="0.25">
      <c r="A86" s="8" t="s">
        <v>220</v>
      </c>
      <c r="B86" s="21" t="s">
        <v>896</v>
      </c>
      <c r="C86" s="2">
        <v>14</v>
      </c>
      <c r="D86" s="238"/>
      <c r="E86" s="236">
        <f>Odon_Mat_Consum_Deconhecida[[#This Row],[VALOR UNID]]/3*(Odon_Mat_Consum_Dados[[#This Row],[QUANT]])</f>
        <v>0</v>
      </c>
      <c r="F86" s="236">
        <f>Odon_Mat_Consum_Deconhecida[[#This Row],[VALOR MÊS]]*12</f>
        <v>0</v>
      </c>
      <c r="I86" s="15">
        <f>Odon_Mat_Consum_Deconhecida[[#This Row],[VALOR UNID]]</f>
        <v>0</v>
      </c>
      <c r="J86" s="15" t="e">
        <f>#REF!</f>
        <v>#REF!</v>
      </c>
      <c r="K86" s="15" t="e">
        <f>#REF!</f>
        <v>#REF!</v>
      </c>
      <c r="L86" s="15" t="e">
        <f>#REF!</f>
        <v>#REF!</v>
      </c>
    </row>
    <row r="87" spans="1:12" s="8" customFormat="1" x14ac:dyDescent="0.25">
      <c r="A87" s="8" t="s">
        <v>223</v>
      </c>
      <c r="B87" s="21" t="s">
        <v>897</v>
      </c>
      <c r="C87" s="2">
        <v>14</v>
      </c>
      <c r="D87" s="172"/>
      <c r="E87" s="15">
        <f>Odon_Mat_Consum_Deconhecida[[#This Row],[VALOR UNID]]/12*(Odon_Mat_Consum_Dados[[#This Row],[QUANT]])</f>
        <v>0</v>
      </c>
      <c r="F87" s="15">
        <f>Odon_Mat_Consum_Deconhecida[[#This Row],[VALOR MÊS]]*12</f>
        <v>0</v>
      </c>
      <c r="I87" s="15">
        <f>Odon_Mat_Consum_Deconhecida[[#This Row],[VALOR UNID]]</f>
        <v>0</v>
      </c>
      <c r="J87" s="15" t="e">
        <f>#REF!</f>
        <v>#REF!</v>
      </c>
      <c r="K87" s="15" t="e">
        <f>#REF!</f>
        <v>#REF!</v>
      </c>
      <c r="L87" s="15" t="e">
        <f>#REF!</f>
        <v>#REF!</v>
      </c>
    </row>
    <row r="88" spans="1:12" s="8" customFormat="1" ht="22.5" x14ac:dyDescent="0.25">
      <c r="A88" s="8" t="s">
        <v>226</v>
      </c>
      <c r="B88" s="21" t="s">
        <v>898</v>
      </c>
      <c r="C88" s="2">
        <v>14</v>
      </c>
      <c r="D88" s="238"/>
      <c r="E88" s="236">
        <f>Odon_Mat_Consum_Deconhecida[[#This Row],[VALOR UNID]]/12*(Odon_Mat_Consum_Dados[[#This Row],[QUANT]])</f>
        <v>0</v>
      </c>
      <c r="F88" s="236">
        <f>Odon_Mat_Consum_Deconhecida[[#This Row],[VALOR MÊS]]*12</f>
        <v>0</v>
      </c>
      <c r="I88" s="15">
        <f>Odon_Mat_Consum_Deconhecida[[#This Row],[VALOR UNID]]</f>
        <v>0</v>
      </c>
      <c r="J88" s="15" t="e">
        <f>#REF!</f>
        <v>#REF!</v>
      </c>
      <c r="K88" s="15" t="e">
        <f>#REF!</f>
        <v>#REF!</v>
      </c>
      <c r="L88" s="15" t="e">
        <f>#REF!</f>
        <v>#REF!</v>
      </c>
    </row>
    <row r="89" spans="1:12" s="8" customFormat="1" x14ac:dyDescent="0.25">
      <c r="A89" s="17"/>
      <c r="B89" s="45"/>
      <c r="C89" s="46">
        <f t="shared" ref="C89" si="0">SUBTOTAL(109,C4:C88)</f>
        <v>1624</v>
      </c>
      <c r="D89" s="141"/>
      <c r="E89" s="26">
        <f>SUBTOTAL(109,E4:E88)</f>
        <v>0</v>
      </c>
      <c r="F89" s="26">
        <f>SUM(Odon_Mat_Consum_Deconhecida[VALOR ANO])</f>
        <v>0</v>
      </c>
    </row>
    <row r="90" spans="1:12" s="8" customFormat="1" ht="11.25" customHeight="1" x14ac:dyDescent="0.25">
      <c r="A90" s="3"/>
      <c r="B90" s="290"/>
      <c r="C90" s="290"/>
      <c r="D90" s="136"/>
      <c r="E90" s="133"/>
      <c r="F90" s="133"/>
    </row>
    <row r="91" spans="1:12" s="8" customFormat="1" x14ac:dyDescent="0.25">
      <c r="A91" s="3"/>
      <c r="B91" s="290"/>
      <c r="C91" s="290"/>
      <c r="D91" s="136"/>
      <c r="E91" s="133"/>
      <c r="F91" s="133"/>
    </row>
    <row r="92" spans="1:12" s="8" customFormat="1" x14ac:dyDescent="0.25">
      <c r="A92" s="3"/>
      <c r="B92" s="290"/>
      <c r="C92" s="290"/>
      <c r="D92" s="136"/>
      <c r="E92" s="133"/>
      <c r="F92" s="133"/>
    </row>
    <row r="93" spans="1:12" s="8" customFormat="1" x14ac:dyDescent="0.25">
      <c r="A93" s="3"/>
      <c r="B93" s="44"/>
      <c r="C93" s="44"/>
      <c r="D93" s="136"/>
      <c r="E93" s="133"/>
      <c r="F93" s="133"/>
    </row>
    <row r="94" spans="1:12" s="8" customFormat="1" x14ac:dyDescent="0.25">
      <c r="A94" s="3"/>
      <c r="B94" s="10"/>
      <c r="C94" s="3"/>
      <c r="D94" s="131"/>
      <c r="E94" s="133"/>
      <c r="F94" s="133"/>
    </row>
    <row r="95" spans="1:12" s="8" customFormat="1" x14ac:dyDescent="0.25">
      <c r="A95" s="3"/>
      <c r="B95" s="10"/>
      <c r="C95" s="3"/>
      <c r="D95" s="131"/>
      <c r="E95" s="133"/>
      <c r="F95" s="133"/>
    </row>
    <row r="96" spans="1:12" s="8" customFormat="1" x14ac:dyDescent="0.25">
      <c r="A96" s="3"/>
      <c r="B96" s="10"/>
      <c r="C96" s="3"/>
      <c r="D96" s="131"/>
      <c r="E96" s="133"/>
      <c r="F96" s="133"/>
    </row>
    <row r="97" spans="1:6" s="8" customFormat="1" x14ac:dyDescent="0.25">
      <c r="A97" s="3"/>
      <c r="B97" s="10"/>
      <c r="C97" s="3"/>
      <c r="D97" s="131"/>
      <c r="E97" s="133"/>
      <c r="F97" s="133"/>
    </row>
    <row r="98" spans="1:6" s="8" customFormat="1" x14ac:dyDescent="0.25">
      <c r="A98" s="3"/>
      <c r="B98" s="10"/>
      <c r="C98" s="3"/>
      <c r="D98" s="131"/>
      <c r="E98" s="133"/>
      <c r="F98" s="133"/>
    </row>
    <row r="99" spans="1:6" s="8" customFormat="1" x14ac:dyDescent="0.25">
      <c r="A99" s="3"/>
      <c r="B99" s="10"/>
      <c r="C99" s="3"/>
      <c r="D99" s="131"/>
      <c r="E99" s="133"/>
      <c r="F99" s="133"/>
    </row>
    <row r="100" spans="1:6" s="8" customFormat="1" x14ac:dyDescent="0.25">
      <c r="A100" s="3"/>
      <c r="B100" s="10"/>
      <c r="C100" s="3"/>
      <c r="D100" s="131"/>
      <c r="E100" s="133"/>
      <c r="F100" s="133"/>
    </row>
    <row r="101" spans="1:6" s="8" customFormat="1" x14ac:dyDescent="0.25">
      <c r="A101" s="3"/>
      <c r="B101" s="10"/>
      <c r="C101" s="3"/>
      <c r="D101" s="131"/>
      <c r="E101" s="133"/>
      <c r="F101" s="133"/>
    </row>
    <row r="102" spans="1:6" s="8" customFormat="1" x14ac:dyDescent="0.25">
      <c r="A102" s="3"/>
      <c r="B102" s="10"/>
      <c r="C102" s="3"/>
      <c r="D102" s="131"/>
      <c r="E102" s="133"/>
      <c r="F102" s="133"/>
    </row>
    <row r="103" spans="1:6" s="8" customFormat="1" x14ac:dyDescent="0.25">
      <c r="A103" s="3"/>
      <c r="B103" s="10"/>
      <c r="C103" s="3"/>
      <c r="D103" s="131"/>
      <c r="E103" s="133"/>
      <c r="F103" s="133"/>
    </row>
    <row r="104" spans="1:6" s="8" customFormat="1" x14ac:dyDescent="0.25">
      <c r="A104" s="3"/>
      <c r="B104" s="10"/>
      <c r="C104" s="3"/>
      <c r="D104" s="131"/>
      <c r="E104" s="133"/>
      <c r="F104" s="133"/>
    </row>
    <row r="105" spans="1:6" s="8" customFormat="1" x14ac:dyDescent="0.25">
      <c r="A105" s="3"/>
      <c r="B105" s="10"/>
      <c r="C105" s="3"/>
      <c r="D105" s="131"/>
      <c r="E105" s="133"/>
      <c r="F105" s="133"/>
    </row>
    <row r="106" spans="1:6" s="8" customFormat="1" x14ac:dyDescent="0.25">
      <c r="A106" s="3"/>
      <c r="B106" s="10"/>
      <c r="C106" s="3"/>
      <c r="D106" s="131"/>
      <c r="E106" s="133"/>
      <c r="F106" s="133"/>
    </row>
    <row r="107" spans="1:6" s="8" customFormat="1" x14ac:dyDescent="0.25">
      <c r="A107" s="3"/>
      <c r="B107" s="10"/>
      <c r="C107" s="3"/>
      <c r="D107" s="131"/>
      <c r="E107" s="133"/>
      <c r="F107" s="133"/>
    </row>
    <row r="108" spans="1:6" s="8" customFormat="1" x14ac:dyDescent="0.25">
      <c r="A108" s="3"/>
      <c r="B108" s="10"/>
      <c r="C108" s="3"/>
      <c r="D108" s="131"/>
      <c r="E108" s="133"/>
      <c r="F108" s="133"/>
    </row>
    <row r="109" spans="1:6" s="8" customFormat="1" x14ac:dyDescent="0.25">
      <c r="A109" s="3"/>
      <c r="B109" s="10"/>
      <c r="C109" s="3"/>
      <c r="D109" s="131"/>
      <c r="E109" s="133"/>
      <c r="F109" s="133"/>
    </row>
    <row r="110" spans="1:6" s="8" customFormat="1" x14ac:dyDescent="0.25">
      <c r="A110" s="3"/>
      <c r="B110" s="10"/>
      <c r="C110" s="3"/>
      <c r="D110" s="131"/>
      <c r="E110" s="133"/>
      <c r="F110" s="133"/>
    </row>
    <row r="111" spans="1:6" s="8" customFormat="1" x14ac:dyDescent="0.25">
      <c r="A111" s="3"/>
      <c r="B111" s="10"/>
      <c r="C111" s="3"/>
      <c r="D111" s="131"/>
      <c r="E111" s="133"/>
      <c r="F111" s="133"/>
    </row>
    <row r="112" spans="1:6" s="8" customFormat="1" x14ac:dyDescent="0.25">
      <c r="A112" s="3"/>
      <c r="B112" s="10"/>
      <c r="C112" s="3"/>
      <c r="D112" s="131"/>
      <c r="E112" s="133"/>
      <c r="F112" s="133"/>
    </row>
    <row r="113" spans="1:6" s="8" customFormat="1" x14ac:dyDescent="0.25">
      <c r="A113" s="3"/>
      <c r="B113" s="10"/>
      <c r="C113" s="3"/>
      <c r="D113" s="131"/>
      <c r="E113" s="133"/>
      <c r="F113" s="133"/>
    </row>
    <row r="114" spans="1:6" s="8" customFormat="1" x14ac:dyDescent="0.25">
      <c r="A114" s="3"/>
      <c r="B114" s="10"/>
      <c r="C114" s="3"/>
      <c r="D114" s="131"/>
      <c r="E114" s="133"/>
      <c r="F114" s="133"/>
    </row>
    <row r="115" spans="1:6" s="8" customFormat="1" x14ac:dyDescent="0.25">
      <c r="A115" s="3"/>
      <c r="B115" s="10"/>
      <c r="C115" s="3"/>
      <c r="D115" s="131"/>
      <c r="E115" s="133"/>
      <c r="F115" s="133"/>
    </row>
    <row r="116" spans="1:6" s="8" customFormat="1" x14ac:dyDescent="0.25">
      <c r="A116" s="3"/>
      <c r="B116" s="10"/>
      <c r="C116" s="3"/>
      <c r="D116" s="131"/>
      <c r="E116" s="133"/>
      <c r="F116" s="133"/>
    </row>
    <row r="117" spans="1:6" s="8" customFormat="1" x14ac:dyDescent="0.25">
      <c r="A117" s="3"/>
      <c r="B117" s="10"/>
      <c r="C117" s="3"/>
      <c r="D117" s="131"/>
      <c r="E117" s="133"/>
      <c r="F117" s="133"/>
    </row>
    <row r="118" spans="1:6" s="8" customFormat="1" x14ac:dyDescent="0.25">
      <c r="A118" s="3"/>
      <c r="B118" s="10"/>
      <c r="C118" s="3"/>
      <c r="D118" s="131"/>
      <c r="E118" s="133"/>
      <c r="F118" s="133"/>
    </row>
    <row r="119" spans="1:6" s="8" customFormat="1" x14ac:dyDescent="0.25">
      <c r="A119" s="3"/>
      <c r="B119" s="10"/>
      <c r="C119" s="3"/>
      <c r="D119" s="131"/>
      <c r="E119" s="133"/>
      <c r="F119" s="133"/>
    </row>
    <row r="120" spans="1:6" s="8" customFormat="1" x14ac:dyDescent="0.25">
      <c r="A120" s="3"/>
      <c r="B120" s="10"/>
      <c r="C120" s="3"/>
      <c r="D120" s="131"/>
      <c r="E120" s="133"/>
      <c r="F120" s="133"/>
    </row>
    <row r="121" spans="1:6" s="8" customFormat="1" x14ac:dyDescent="0.25">
      <c r="A121" s="3"/>
      <c r="B121" s="10"/>
      <c r="C121" s="3"/>
      <c r="D121" s="131"/>
      <c r="E121" s="133"/>
      <c r="F121" s="133"/>
    </row>
    <row r="122" spans="1:6" s="8" customFormat="1" x14ac:dyDescent="0.25">
      <c r="A122" s="3"/>
      <c r="B122" s="10"/>
      <c r="C122" s="3"/>
      <c r="D122" s="131"/>
      <c r="E122" s="133"/>
      <c r="F122" s="133"/>
    </row>
    <row r="123" spans="1:6" s="8" customFormat="1" x14ac:dyDescent="0.25">
      <c r="A123" s="3"/>
      <c r="B123" s="10"/>
      <c r="C123" s="3"/>
      <c r="D123" s="131"/>
      <c r="E123" s="133"/>
      <c r="F123" s="133"/>
    </row>
    <row r="124" spans="1:6" s="8" customFormat="1" x14ac:dyDescent="0.25">
      <c r="A124" s="3"/>
      <c r="B124" s="10"/>
      <c r="C124" s="3"/>
      <c r="D124" s="131"/>
      <c r="E124" s="133"/>
      <c r="F124" s="133"/>
    </row>
    <row r="125" spans="1:6" s="8" customFormat="1" x14ac:dyDescent="0.25">
      <c r="A125" s="3"/>
      <c r="B125" s="10"/>
      <c r="C125" s="3"/>
      <c r="D125" s="131"/>
      <c r="E125" s="133"/>
      <c r="F125" s="133"/>
    </row>
    <row r="126" spans="1:6" s="8" customFormat="1" x14ac:dyDescent="0.25">
      <c r="A126" s="3"/>
      <c r="B126" s="10"/>
      <c r="C126" s="3"/>
      <c r="D126" s="131"/>
      <c r="E126" s="133"/>
      <c r="F126" s="133"/>
    </row>
    <row r="127" spans="1:6" s="8" customFormat="1" x14ac:dyDescent="0.25">
      <c r="A127" s="3"/>
      <c r="B127" s="10"/>
      <c r="C127" s="3"/>
      <c r="D127" s="131"/>
      <c r="E127" s="133"/>
      <c r="F127" s="133"/>
    </row>
    <row r="128" spans="1:6" s="8" customFormat="1" x14ac:dyDescent="0.25">
      <c r="A128" s="3"/>
      <c r="B128" s="10"/>
      <c r="C128" s="3"/>
      <c r="D128" s="131"/>
      <c r="E128" s="133"/>
      <c r="F128" s="133"/>
    </row>
    <row r="129" spans="1:6" s="8" customFormat="1" x14ac:dyDescent="0.25">
      <c r="A129" s="3"/>
      <c r="B129" s="10"/>
      <c r="C129" s="3"/>
      <c r="D129" s="131"/>
      <c r="E129" s="133"/>
      <c r="F129" s="133"/>
    </row>
    <row r="130" spans="1:6" s="8" customFormat="1" x14ac:dyDescent="0.25">
      <c r="A130" s="3"/>
      <c r="B130" s="10"/>
      <c r="C130" s="3"/>
      <c r="D130" s="131"/>
      <c r="E130" s="133"/>
      <c r="F130" s="133"/>
    </row>
    <row r="131" spans="1:6" s="8" customFormat="1" x14ac:dyDescent="0.25">
      <c r="A131" s="3"/>
      <c r="B131" s="10"/>
      <c r="C131" s="3"/>
      <c r="D131" s="131"/>
      <c r="E131" s="133"/>
      <c r="F131" s="133"/>
    </row>
    <row r="132" spans="1:6" s="8" customFormat="1" x14ac:dyDescent="0.25">
      <c r="A132" s="3"/>
      <c r="B132" s="10"/>
      <c r="C132" s="3"/>
      <c r="D132" s="131"/>
      <c r="E132" s="133"/>
      <c r="F132" s="133"/>
    </row>
    <row r="133" spans="1:6" s="8" customFormat="1" x14ac:dyDescent="0.25">
      <c r="A133" s="3"/>
      <c r="B133" s="10"/>
      <c r="C133" s="3"/>
      <c r="D133" s="131"/>
      <c r="E133" s="133"/>
      <c r="F133" s="133"/>
    </row>
    <row r="134" spans="1:6" s="8" customFormat="1" x14ac:dyDescent="0.25">
      <c r="A134" s="3"/>
      <c r="B134" s="10"/>
      <c r="C134" s="3"/>
      <c r="D134" s="131"/>
      <c r="E134" s="133"/>
      <c r="F134" s="133"/>
    </row>
    <row r="135" spans="1:6" s="8" customFormat="1" x14ac:dyDescent="0.25">
      <c r="A135" s="3"/>
      <c r="B135" s="10"/>
      <c r="C135" s="3"/>
      <c r="D135" s="131"/>
      <c r="E135" s="133"/>
      <c r="F135" s="133"/>
    </row>
    <row r="136" spans="1:6" s="8" customFormat="1" x14ac:dyDescent="0.25">
      <c r="A136" s="3"/>
      <c r="B136" s="10"/>
      <c r="C136" s="3"/>
      <c r="D136" s="131"/>
      <c r="E136" s="133"/>
      <c r="F136" s="133"/>
    </row>
    <row r="137" spans="1:6" s="8" customFormat="1" x14ac:dyDescent="0.25">
      <c r="A137" s="3"/>
      <c r="B137" s="10"/>
      <c r="C137" s="3"/>
      <c r="D137" s="131"/>
      <c r="E137" s="133"/>
      <c r="F137" s="133"/>
    </row>
    <row r="138" spans="1:6" s="8" customFormat="1" x14ac:dyDescent="0.25">
      <c r="A138" s="3"/>
      <c r="B138" s="10"/>
      <c r="C138" s="3"/>
      <c r="D138" s="131"/>
      <c r="E138" s="133"/>
      <c r="F138" s="133"/>
    </row>
    <row r="139" spans="1:6" s="8" customFormat="1" x14ac:dyDescent="0.25">
      <c r="A139" s="3"/>
      <c r="B139" s="10"/>
      <c r="C139" s="3"/>
      <c r="D139" s="131"/>
      <c r="E139" s="133"/>
      <c r="F139" s="133"/>
    </row>
    <row r="140" spans="1:6" s="8" customFormat="1" x14ac:dyDescent="0.25">
      <c r="A140" s="3"/>
      <c r="B140" s="10"/>
      <c r="C140" s="3"/>
      <c r="D140" s="131"/>
      <c r="E140" s="133"/>
      <c r="F140" s="133"/>
    </row>
    <row r="141" spans="1:6" s="8" customFormat="1" x14ac:dyDescent="0.25">
      <c r="A141" s="3"/>
      <c r="B141" s="10"/>
      <c r="C141" s="3"/>
      <c r="D141" s="131"/>
      <c r="E141" s="133"/>
      <c r="F141" s="133"/>
    </row>
    <row r="142" spans="1:6" s="8" customFormat="1" x14ac:dyDescent="0.25">
      <c r="A142" s="3"/>
      <c r="B142" s="10"/>
      <c r="C142" s="3"/>
      <c r="D142" s="131"/>
      <c r="E142" s="133"/>
      <c r="F142" s="133"/>
    </row>
    <row r="143" spans="1:6" s="8" customFormat="1" x14ac:dyDescent="0.25">
      <c r="A143" s="3"/>
      <c r="B143" s="10"/>
      <c r="C143" s="3"/>
      <c r="D143" s="131"/>
      <c r="E143" s="133"/>
      <c r="F143" s="133"/>
    </row>
    <row r="144" spans="1:6" s="8" customFormat="1" x14ac:dyDescent="0.25">
      <c r="A144" s="3"/>
      <c r="B144" s="10"/>
      <c r="C144" s="3"/>
      <c r="D144" s="131"/>
      <c r="E144" s="133"/>
      <c r="F144" s="133"/>
    </row>
    <row r="145" spans="1:6" s="8" customFormat="1" x14ac:dyDescent="0.25">
      <c r="A145" s="3"/>
      <c r="B145" s="10"/>
      <c r="C145" s="3"/>
      <c r="D145" s="131"/>
      <c r="E145" s="133"/>
      <c r="F145" s="133"/>
    </row>
    <row r="146" spans="1:6" s="8" customFormat="1" x14ac:dyDescent="0.25">
      <c r="A146" s="3"/>
      <c r="B146" s="10"/>
      <c r="C146" s="3"/>
      <c r="D146" s="131"/>
      <c r="E146" s="133"/>
      <c r="F146" s="133"/>
    </row>
    <row r="147" spans="1:6" s="8" customFormat="1" x14ac:dyDescent="0.25">
      <c r="A147" s="3"/>
      <c r="B147" s="10"/>
      <c r="C147" s="3"/>
      <c r="D147" s="131"/>
      <c r="E147" s="133"/>
      <c r="F147" s="133"/>
    </row>
    <row r="148" spans="1:6" s="8" customFormat="1" x14ac:dyDescent="0.25">
      <c r="A148" s="3"/>
      <c r="B148" s="10"/>
      <c r="C148" s="3"/>
      <c r="D148" s="131"/>
      <c r="E148" s="133"/>
      <c r="F148" s="133"/>
    </row>
    <row r="149" spans="1:6" s="8" customFormat="1" x14ac:dyDescent="0.25">
      <c r="A149" s="3"/>
      <c r="B149" s="10"/>
      <c r="C149" s="3"/>
      <c r="D149" s="131"/>
      <c r="E149" s="133"/>
      <c r="F149" s="133"/>
    </row>
    <row r="150" spans="1:6" s="8" customFormat="1" x14ac:dyDescent="0.25">
      <c r="A150" s="3"/>
      <c r="B150" s="10"/>
      <c r="C150" s="3"/>
      <c r="D150" s="131"/>
      <c r="E150" s="133"/>
      <c r="F150" s="133"/>
    </row>
    <row r="151" spans="1:6" s="8" customFormat="1" x14ac:dyDescent="0.25">
      <c r="A151" s="3"/>
      <c r="B151" s="10"/>
      <c r="C151" s="3"/>
      <c r="D151" s="131"/>
      <c r="E151" s="133"/>
      <c r="F151" s="133"/>
    </row>
    <row r="152" spans="1:6" s="8" customFormat="1" x14ac:dyDescent="0.25">
      <c r="A152" s="3"/>
      <c r="B152" s="10"/>
      <c r="C152" s="3"/>
      <c r="D152" s="131"/>
      <c r="E152" s="133"/>
      <c r="F152" s="133"/>
    </row>
    <row r="153" spans="1:6" s="8" customFormat="1" x14ac:dyDescent="0.25">
      <c r="A153" s="3"/>
      <c r="B153" s="10"/>
      <c r="C153" s="3"/>
      <c r="D153" s="131"/>
      <c r="E153" s="133"/>
      <c r="F153" s="133"/>
    </row>
    <row r="154" spans="1:6" s="8" customFormat="1" x14ac:dyDescent="0.25">
      <c r="A154" s="3"/>
      <c r="B154" s="10"/>
      <c r="C154" s="3"/>
      <c r="D154" s="131"/>
      <c r="E154" s="133"/>
      <c r="F154" s="133"/>
    </row>
    <row r="155" spans="1:6" s="8" customFormat="1" x14ac:dyDescent="0.25">
      <c r="A155" s="3"/>
      <c r="B155" s="10"/>
      <c r="C155" s="3"/>
      <c r="D155" s="131"/>
      <c r="E155" s="133"/>
      <c r="F155" s="133"/>
    </row>
    <row r="156" spans="1:6" s="8" customFormat="1" x14ac:dyDescent="0.25">
      <c r="A156" s="3"/>
      <c r="B156" s="10"/>
      <c r="C156" s="3"/>
      <c r="D156" s="131"/>
      <c r="E156" s="133"/>
      <c r="F156" s="133"/>
    </row>
    <row r="157" spans="1:6" s="8" customFormat="1" x14ac:dyDescent="0.25">
      <c r="A157" s="3"/>
      <c r="B157" s="10"/>
      <c r="C157" s="3"/>
      <c r="D157" s="131"/>
      <c r="E157" s="133"/>
      <c r="F157" s="133"/>
    </row>
    <row r="158" spans="1:6" s="8" customFormat="1" x14ac:dyDescent="0.25">
      <c r="A158" s="3"/>
      <c r="B158" s="10"/>
      <c r="C158" s="3"/>
      <c r="D158" s="131"/>
      <c r="E158" s="133"/>
      <c r="F158" s="133"/>
    </row>
    <row r="159" spans="1:6" s="8" customFormat="1" x14ac:dyDescent="0.25">
      <c r="A159" s="3"/>
      <c r="B159" s="10"/>
      <c r="C159" s="3"/>
      <c r="D159" s="131"/>
      <c r="E159" s="133"/>
      <c r="F159" s="133"/>
    </row>
    <row r="160" spans="1:6" s="8" customFormat="1" x14ac:dyDescent="0.25">
      <c r="A160" s="3"/>
      <c r="B160" s="10"/>
      <c r="C160" s="3"/>
      <c r="D160" s="131"/>
      <c r="E160" s="133"/>
      <c r="F160" s="133"/>
    </row>
    <row r="161" spans="1:6" s="8" customFormat="1" x14ac:dyDescent="0.25">
      <c r="A161" s="3"/>
      <c r="B161" s="10"/>
      <c r="C161" s="3"/>
      <c r="D161" s="131"/>
      <c r="E161" s="133"/>
      <c r="F161" s="133"/>
    </row>
    <row r="162" spans="1:6" s="8" customFormat="1" x14ac:dyDescent="0.25">
      <c r="A162" s="3"/>
      <c r="B162" s="10"/>
      <c r="C162" s="3"/>
      <c r="D162" s="131"/>
      <c r="E162" s="133"/>
      <c r="F162" s="133"/>
    </row>
    <row r="163" spans="1:6" s="8" customFormat="1" x14ac:dyDescent="0.25">
      <c r="A163" s="3"/>
      <c r="B163" s="10"/>
      <c r="C163" s="3"/>
      <c r="D163" s="131"/>
      <c r="E163" s="133"/>
      <c r="F163" s="133"/>
    </row>
    <row r="164" spans="1:6" s="8" customFormat="1" x14ac:dyDescent="0.25">
      <c r="A164" s="3"/>
      <c r="B164" s="10"/>
      <c r="C164" s="3"/>
      <c r="D164" s="131"/>
      <c r="E164" s="133"/>
      <c r="F164" s="133"/>
    </row>
    <row r="165" spans="1:6" s="8" customFormat="1" x14ac:dyDescent="0.25">
      <c r="A165" s="3"/>
      <c r="B165" s="10"/>
      <c r="C165" s="3"/>
      <c r="D165" s="131"/>
      <c r="E165" s="133"/>
      <c r="F165" s="133"/>
    </row>
    <row r="166" spans="1:6" s="8" customFormat="1" x14ac:dyDescent="0.25">
      <c r="A166" s="3"/>
      <c r="B166" s="10"/>
      <c r="C166" s="3"/>
      <c r="D166" s="131"/>
      <c r="E166" s="133"/>
      <c r="F166" s="133"/>
    </row>
    <row r="167" spans="1:6" s="8" customFormat="1" x14ac:dyDescent="0.25">
      <c r="A167" s="3"/>
      <c r="B167" s="10"/>
      <c r="C167" s="3"/>
      <c r="D167" s="131"/>
      <c r="E167" s="133"/>
      <c r="F167" s="133"/>
    </row>
    <row r="168" spans="1:6" s="8" customFormat="1" x14ac:dyDescent="0.25">
      <c r="A168" s="3"/>
      <c r="B168" s="10"/>
      <c r="C168" s="3"/>
      <c r="D168" s="131"/>
      <c r="E168" s="133"/>
      <c r="F168" s="133"/>
    </row>
    <row r="169" spans="1:6" s="8" customFormat="1" x14ac:dyDescent="0.25">
      <c r="A169" s="3"/>
      <c r="B169" s="10"/>
      <c r="C169" s="3"/>
      <c r="D169" s="131"/>
      <c r="E169" s="133"/>
      <c r="F169" s="133"/>
    </row>
    <row r="170" spans="1:6" s="8" customFormat="1" x14ac:dyDescent="0.25">
      <c r="A170" s="3"/>
      <c r="B170" s="10"/>
      <c r="C170" s="3"/>
      <c r="D170" s="131"/>
      <c r="E170" s="133"/>
      <c r="F170" s="133"/>
    </row>
    <row r="171" spans="1:6" s="8" customFormat="1" x14ac:dyDescent="0.25">
      <c r="A171" s="3"/>
      <c r="B171" s="10"/>
      <c r="C171" s="3"/>
      <c r="D171" s="131"/>
      <c r="E171" s="133"/>
      <c r="F171" s="133"/>
    </row>
    <row r="172" spans="1:6" s="8" customFormat="1" x14ac:dyDescent="0.25">
      <c r="A172" s="3"/>
      <c r="B172" s="10"/>
      <c r="C172" s="3"/>
      <c r="D172" s="131"/>
      <c r="E172" s="133"/>
      <c r="F172" s="133"/>
    </row>
    <row r="173" spans="1:6" s="8" customFormat="1" x14ac:dyDescent="0.25">
      <c r="A173" s="3"/>
      <c r="B173" s="10"/>
      <c r="C173" s="3"/>
      <c r="D173" s="131"/>
      <c r="E173" s="133"/>
      <c r="F173" s="133"/>
    </row>
    <row r="174" spans="1:6" s="8" customFormat="1" x14ac:dyDescent="0.25">
      <c r="A174" s="3"/>
      <c r="B174" s="10"/>
      <c r="C174" s="3"/>
      <c r="D174" s="131"/>
      <c r="E174" s="133"/>
      <c r="F174" s="133"/>
    </row>
    <row r="175" spans="1:6" s="8" customFormat="1" x14ac:dyDescent="0.25">
      <c r="A175" s="3"/>
      <c r="B175" s="10"/>
      <c r="C175" s="3"/>
      <c r="D175" s="131"/>
      <c r="E175" s="133"/>
      <c r="F175" s="133"/>
    </row>
    <row r="176" spans="1:6" s="8" customFormat="1" x14ac:dyDescent="0.25">
      <c r="A176" s="3"/>
      <c r="B176" s="10"/>
      <c r="C176" s="3"/>
      <c r="D176" s="131"/>
      <c r="E176" s="133"/>
      <c r="F176" s="133"/>
    </row>
    <row r="177" spans="1:6" s="8" customFormat="1" x14ac:dyDescent="0.25">
      <c r="A177" s="3"/>
      <c r="B177" s="10"/>
      <c r="C177" s="3"/>
      <c r="D177" s="131"/>
      <c r="E177" s="133"/>
      <c r="F177" s="133"/>
    </row>
    <row r="178" spans="1:6" s="8" customFormat="1" x14ac:dyDescent="0.25">
      <c r="A178" s="3"/>
      <c r="B178" s="10"/>
      <c r="C178" s="3"/>
      <c r="D178" s="131"/>
      <c r="E178" s="133"/>
      <c r="F178" s="133"/>
    </row>
    <row r="179" spans="1:6" s="8" customFormat="1" x14ac:dyDescent="0.25">
      <c r="A179" s="3"/>
      <c r="B179" s="10"/>
      <c r="C179" s="3"/>
      <c r="D179" s="131"/>
      <c r="E179" s="133"/>
      <c r="F179" s="133"/>
    </row>
    <row r="180" spans="1:6" s="8" customFormat="1" x14ac:dyDescent="0.25">
      <c r="A180" s="3"/>
      <c r="B180" s="10"/>
      <c r="C180" s="3"/>
      <c r="D180" s="131"/>
      <c r="E180" s="133"/>
      <c r="F180" s="133"/>
    </row>
    <row r="181" spans="1:6" s="8" customFormat="1" x14ac:dyDescent="0.25">
      <c r="A181" s="3"/>
      <c r="B181" s="10"/>
      <c r="C181" s="3"/>
      <c r="D181" s="131"/>
      <c r="E181" s="133"/>
      <c r="F181" s="133"/>
    </row>
    <row r="182" spans="1:6" s="8" customFormat="1" x14ac:dyDescent="0.25">
      <c r="A182" s="3"/>
      <c r="B182" s="10"/>
      <c r="C182" s="3"/>
      <c r="D182" s="131"/>
      <c r="E182" s="133"/>
      <c r="F182" s="133"/>
    </row>
    <row r="183" spans="1:6" s="8" customFormat="1" x14ac:dyDescent="0.25">
      <c r="A183" s="3"/>
      <c r="B183" s="10"/>
      <c r="C183" s="3"/>
      <c r="D183" s="131"/>
      <c r="E183" s="133"/>
      <c r="F183" s="133"/>
    </row>
    <row r="184" spans="1:6" s="8" customFormat="1" x14ac:dyDescent="0.25">
      <c r="A184" s="3"/>
      <c r="B184" s="10"/>
      <c r="C184" s="3"/>
      <c r="D184" s="131"/>
      <c r="E184" s="133"/>
      <c r="F184" s="133"/>
    </row>
    <row r="185" spans="1:6" s="8" customFormat="1" x14ac:dyDescent="0.25">
      <c r="A185" s="3"/>
      <c r="B185" s="10"/>
      <c r="C185" s="3"/>
      <c r="D185" s="131"/>
      <c r="E185" s="133"/>
      <c r="F185" s="133"/>
    </row>
    <row r="186" spans="1:6" s="8" customFormat="1" x14ac:dyDescent="0.25">
      <c r="A186" s="3"/>
      <c r="B186" s="10"/>
      <c r="C186" s="3"/>
      <c r="D186" s="131"/>
      <c r="E186" s="133"/>
      <c r="F186" s="133"/>
    </row>
    <row r="187" spans="1:6" s="8" customFormat="1" x14ac:dyDescent="0.25">
      <c r="A187" s="3"/>
      <c r="B187" s="10"/>
      <c r="C187" s="3"/>
      <c r="D187" s="131"/>
      <c r="E187" s="133"/>
      <c r="F187" s="133"/>
    </row>
    <row r="188" spans="1:6" s="8" customFormat="1" x14ac:dyDescent="0.25">
      <c r="A188" s="3"/>
      <c r="B188" s="10"/>
      <c r="C188" s="3"/>
      <c r="D188" s="131"/>
      <c r="E188" s="133"/>
      <c r="F188" s="133"/>
    </row>
    <row r="189" spans="1:6" s="8" customFormat="1" x14ac:dyDescent="0.25">
      <c r="A189" s="3"/>
      <c r="B189" s="10"/>
      <c r="C189" s="3"/>
      <c r="D189" s="131"/>
      <c r="E189" s="133"/>
      <c r="F189" s="133"/>
    </row>
    <row r="190" spans="1:6" s="8" customFormat="1" x14ac:dyDescent="0.25">
      <c r="A190" s="3"/>
      <c r="B190" s="10"/>
      <c r="C190" s="3"/>
      <c r="D190" s="131"/>
      <c r="E190" s="133"/>
      <c r="F190" s="133"/>
    </row>
    <row r="191" spans="1:6" s="8" customFormat="1" x14ac:dyDescent="0.25">
      <c r="A191" s="3"/>
      <c r="B191" s="10"/>
      <c r="C191" s="3"/>
      <c r="D191" s="131"/>
      <c r="E191" s="133"/>
      <c r="F191" s="133"/>
    </row>
    <row r="192" spans="1:6" s="8" customFormat="1" x14ac:dyDescent="0.25">
      <c r="A192" s="3"/>
      <c r="B192" s="10"/>
      <c r="C192" s="3"/>
      <c r="D192" s="131"/>
      <c r="E192" s="133"/>
      <c r="F192" s="133"/>
    </row>
    <row r="193" spans="1:6" s="8" customFormat="1" x14ac:dyDescent="0.25">
      <c r="A193" s="3"/>
      <c r="B193" s="10"/>
      <c r="C193" s="3"/>
      <c r="D193" s="131"/>
      <c r="E193" s="133"/>
      <c r="F193" s="133"/>
    </row>
    <row r="194" spans="1:6" s="8" customFormat="1" x14ac:dyDescent="0.25">
      <c r="A194" s="3"/>
      <c r="B194" s="10"/>
      <c r="C194" s="3"/>
      <c r="D194" s="131"/>
      <c r="E194" s="133"/>
      <c r="F194" s="133"/>
    </row>
    <row r="195" spans="1:6" s="8" customFormat="1" x14ac:dyDescent="0.25">
      <c r="A195" s="3"/>
      <c r="B195" s="10"/>
      <c r="C195" s="3"/>
      <c r="D195" s="131"/>
      <c r="E195" s="133"/>
      <c r="F195" s="133"/>
    </row>
    <row r="196" spans="1:6" s="8" customFormat="1" x14ac:dyDescent="0.25">
      <c r="A196" s="3"/>
      <c r="B196" s="10"/>
      <c r="C196" s="3"/>
      <c r="D196" s="131"/>
      <c r="E196" s="133"/>
      <c r="F196" s="133"/>
    </row>
    <row r="197" spans="1:6" s="8" customFormat="1" x14ac:dyDescent="0.25">
      <c r="A197" s="3"/>
      <c r="B197" s="10"/>
      <c r="C197" s="3"/>
      <c r="D197" s="131"/>
      <c r="E197" s="133"/>
      <c r="F197" s="133"/>
    </row>
    <row r="198" spans="1:6" s="8" customFormat="1" x14ac:dyDescent="0.25">
      <c r="A198" s="3"/>
      <c r="B198" s="10"/>
      <c r="C198" s="3"/>
      <c r="D198" s="131"/>
      <c r="E198" s="133"/>
      <c r="F198" s="133"/>
    </row>
    <row r="199" spans="1:6" s="8" customFormat="1" x14ac:dyDescent="0.25">
      <c r="A199" s="3"/>
      <c r="B199" s="10"/>
      <c r="C199" s="3"/>
      <c r="D199" s="131"/>
      <c r="E199" s="133"/>
      <c r="F199" s="133"/>
    </row>
    <row r="200" spans="1:6" s="8" customFormat="1" x14ac:dyDescent="0.25">
      <c r="A200" s="3"/>
      <c r="B200" s="10"/>
      <c r="C200" s="3"/>
      <c r="D200" s="131"/>
      <c r="E200" s="133"/>
      <c r="F200" s="133"/>
    </row>
    <row r="201" spans="1:6" s="8" customFormat="1" x14ac:dyDescent="0.25">
      <c r="A201" s="3"/>
      <c r="B201" s="10"/>
      <c r="C201" s="3"/>
      <c r="D201" s="131"/>
      <c r="E201" s="133"/>
      <c r="F201" s="133"/>
    </row>
    <row r="202" spans="1:6" s="8" customFormat="1" x14ac:dyDescent="0.25">
      <c r="A202" s="3"/>
      <c r="B202" s="10"/>
      <c r="C202" s="3"/>
      <c r="D202" s="131"/>
      <c r="E202" s="133"/>
      <c r="F202" s="133"/>
    </row>
    <row r="203" spans="1:6" s="8" customFormat="1" x14ac:dyDescent="0.25">
      <c r="A203" s="3"/>
      <c r="B203" s="10"/>
      <c r="C203" s="3"/>
      <c r="D203" s="131"/>
      <c r="E203" s="133"/>
      <c r="F203" s="133"/>
    </row>
    <row r="204" spans="1:6" s="8" customFormat="1" x14ac:dyDescent="0.25">
      <c r="A204" s="3"/>
      <c r="B204" s="10"/>
      <c r="C204" s="3"/>
      <c r="D204" s="131"/>
      <c r="E204" s="133"/>
      <c r="F204" s="133"/>
    </row>
    <row r="205" spans="1:6" s="8" customFormat="1" x14ac:dyDescent="0.25">
      <c r="A205" s="3"/>
      <c r="B205" s="10"/>
      <c r="C205" s="3"/>
      <c r="D205" s="131"/>
      <c r="E205" s="133"/>
      <c r="F205" s="133"/>
    </row>
    <row r="206" spans="1:6" s="8" customFormat="1" x14ac:dyDescent="0.25">
      <c r="A206" s="3"/>
      <c r="B206" s="10"/>
      <c r="C206" s="3"/>
      <c r="D206" s="131"/>
      <c r="E206" s="133"/>
      <c r="F206" s="133"/>
    </row>
    <row r="207" spans="1:6" s="8" customFormat="1" x14ac:dyDescent="0.25">
      <c r="A207" s="3"/>
      <c r="B207" s="10"/>
      <c r="C207" s="3"/>
      <c r="D207" s="131"/>
      <c r="E207" s="133"/>
      <c r="F207" s="133"/>
    </row>
    <row r="208" spans="1:6" s="8" customFormat="1" x14ac:dyDescent="0.25">
      <c r="A208" s="3"/>
      <c r="B208" s="10"/>
      <c r="C208" s="3"/>
      <c r="D208" s="131"/>
      <c r="E208" s="133"/>
      <c r="F208" s="133"/>
    </row>
    <row r="209" spans="1:6" s="8" customFormat="1" x14ac:dyDescent="0.25">
      <c r="A209" s="3"/>
      <c r="B209" s="10"/>
      <c r="C209" s="3"/>
      <c r="D209" s="131"/>
      <c r="E209" s="133"/>
      <c r="F209" s="133"/>
    </row>
    <row r="210" spans="1:6" s="8" customFormat="1" x14ac:dyDescent="0.25">
      <c r="A210" s="3"/>
      <c r="B210" s="10"/>
      <c r="C210" s="3"/>
      <c r="D210" s="131"/>
      <c r="E210" s="133"/>
      <c r="F210" s="133"/>
    </row>
    <row r="211" spans="1:6" s="8" customFormat="1" x14ac:dyDescent="0.25">
      <c r="A211" s="3"/>
      <c r="B211" s="10"/>
      <c r="C211" s="3"/>
      <c r="D211" s="131"/>
      <c r="E211" s="133"/>
      <c r="F211" s="133"/>
    </row>
    <row r="212" spans="1:6" s="8" customFormat="1" x14ac:dyDescent="0.25">
      <c r="A212" s="3"/>
      <c r="B212" s="10"/>
      <c r="C212" s="3"/>
      <c r="D212" s="131"/>
      <c r="E212" s="133"/>
      <c r="F212" s="133"/>
    </row>
    <row r="213" spans="1:6" s="8" customFormat="1" x14ac:dyDescent="0.25">
      <c r="A213" s="3"/>
      <c r="B213" s="10"/>
      <c r="C213" s="3"/>
      <c r="D213" s="131"/>
      <c r="E213" s="133"/>
      <c r="F213" s="133"/>
    </row>
    <row r="214" spans="1:6" s="8" customFormat="1" x14ac:dyDescent="0.25">
      <c r="A214" s="3"/>
      <c r="B214" s="10"/>
      <c r="C214" s="3"/>
      <c r="D214" s="131"/>
      <c r="E214" s="133"/>
      <c r="F214" s="133"/>
    </row>
    <row r="215" spans="1:6" s="8" customFormat="1" x14ac:dyDescent="0.25">
      <c r="A215" s="3"/>
      <c r="B215" s="10"/>
      <c r="C215" s="3"/>
      <c r="D215" s="131"/>
      <c r="E215" s="133"/>
      <c r="F215" s="133"/>
    </row>
    <row r="216" spans="1:6" s="8" customFormat="1" x14ac:dyDescent="0.25">
      <c r="A216" s="3"/>
      <c r="B216" s="10"/>
      <c r="C216" s="3"/>
      <c r="D216" s="131"/>
      <c r="E216" s="133"/>
      <c r="F216" s="133"/>
    </row>
    <row r="217" spans="1:6" s="8" customFormat="1" x14ac:dyDescent="0.25">
      <c r="A217" s="3"/>
      <c r="B217" s="10"/>
      <c r="C217" s="3"/>
      <c r="D217" s="131"/>
      <c r="E217" s="133"/>
      <c r="F217" s="133"/>
    </row>
    <row r="218" spans="1:6" s="8" customFormat="1" x14ac:dyDescent="0.25">
      <c r="A218" s="3"/>
      <c r="B218" s="10"/>
      <c r="C218" s="3"/>
      <c r="D218" s="131"/>
      <c r="E218" s="133"/>
      <c r="F218" s="133"/>
    </row>
    <row r="219" spans="1:6" s="8" customFormat="1" x14ac:dyDescent="0.25">
      <c r="A219" s="3"/>
      <c r="B219" s="10"/>
      <c r="C219" s="3"/>
      <c r="D219" s="131"/>
      <c r="E219" s="133"/>
      <c r="F219" s="133"/>
    </row>
    <row r="220" spans="1:6" s="8" customFormat="1" x14ac:dyDescent="0.25">
      <c r="A220" s="3"/>
      <c r="B220" s="10"/>
      <c r="C220" s="3"/>
      <c r="D220" s="131"/>
      <c r="E220" s="133"/>
      <c r="F220" s="133"/>
    </row>
    <row r="221" spans="1:6" s="8" customFormat="1" x14ac:dyDescent="0.25">
      <c r="A221" s="3"/>
      <c r="B221" s="10"/>
      <c r="C221" s="3"/>
      <c r="D221" s="131"/>
      <c r="E221" s="133"/>
      <c r="F221" s="133"/>
    </row>
    <row r="222" spans="1:6" s="8" customFormat="1" x14ac:dyDescent="0.25">
      <c r="A222" s="3"/>
      <c r="B222" s="10"/>
      <c r="C222" s="3"/>
      <c r="D222" s="131"/>
      <c r="E222" s="133"/>
      <c r="F222" s="133"/>
    </row>
    <row r="223" spans="1:6" s="8" customFormat="1" x14ac:dyDescent="0.25">
      <c r="A223" s="3"/>
      <c r="B223" s="10"/>
      <c r="C223" s="3"/>
      <c r="D223" s="131"/>
      <c r="E223" s="133"/>
      <c r="F223" s="133"/>
    </row>
  </sheetData>
  <sheetProtection algorithmName="SHA-512" hashValue="DY9ywqrpvjssPAefzQ88+rDbycaH5lnCQ8Vl5C3cG7hHHrU4S7th3sVO9bYPCnLvTlGF0ji0W4N28/83m3lnYQ==" saltValue="BzJLncVk+ZnEZeKe7h7vzw==" spinCount="100000" sheet="1" objects="1" scenarios="1" selectLockedCells="1"/>
  <mergeCells count="2">
    <mergeCell ref="B90:C92"/>
    <mergeCell ref="A1:F2"/>
  </mergeCells>
  <pageMargins left="3.0708661417322838" right="0.70866141732283472" top="0.74803149606299213" bottom="0.74803149606299213" header="0.31496062992125984" footer="0.31496062992125984"/>
  <pageSetup paperSize="8" orientation="landscape"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23"/>
  <sheetViews>
    <sheetView showGridLines="0" zoomScaleNormal="100" workbookViewId="0">
      <selection activeCell="D4" sqref="D4"/>
    </sheetView>
  </sheetViews>
  <sheetFormatPr defaultColWidth="8.85546875" defaultRowHeight="11.25" outlineLevelCol="1" x14ac:dyDescent="0.25"/>
  <cols>
    <col min="1" max="1" width="6.7109375" style="3" customWidth="1"/>
    <col min="2" max="2" width="55.85546875" style="10" customWidth="1"/>
    <col min="3" max="3" width="7.7109375" style="3" customWidth="1"/>
    <col min="4" max="4" width="16.7109375" style="131" customWidth="1"/>
    <col min="5" max="5" width="14.7109375" style="133" customWidth="1"/>
    <col min="6" max="6" width="15.7109375" style="133" customWidth="1"/>
    <col min="7" max="7" width="11.140625" style="3" customWidth="1"/>
    <col min="8" max="8" width="8.85546875" style="3"/>
    <col min="9" max="10" width="8.85546875" style="3" hidden="1" customWidth="1" outlineLevel="1"/>
    <col min="11" max="11" width="8.85546875" style="3" collapsed="1"/>
    <col min="12" max="16384" width="8.85546875" style="3"/>
  </cols>
  <sheetData>
    <row r="1" spans="1:10" ht="11.25" customHeight="1" x14ac:dyDescent="0.25">
      <c r="A1" s="289" t="s">
        <v>1404</v>
      </c>
      <c r="B1" s="289"/>
      <c r="C1" s="289"/>
      <c r="D1" s="289"/>
      <c r="E1" s="289"/>
      <c r="F1" s="289"/>
    </row>
    <row r="2" spans="1:10" ht="11.25" customHeight="1" x14ac:dyDescent="0.25">
      <c r="A2" s="289"/>
      <c r="B2" s="289"/>
      <c r="C2" s="289"/>
      <c r="D2" s="289"/>
      <c r="E2" s="289"/>
      <c r="F2" s="289"/>
    </row>
    <row r="3" spans="1:10" s="7" customFormat="1" ht="31.5" x14ac:dyDescent="0.25">
      <c r="A3" s="7" t="s">
        <v>1119</v>
      </c>
      <c r="B3" s="7" t="s">
        <v>814</v>
      </c>
      <c r="C3" s="7" t="s">
        <v>1593</v>
      </c>
      <c r="D3" s="184" t="s">
        <v>1385</v>
      </c>
      <c r="E3" s="132" t="s">
        <v>1321</v>
      </c>
      <c r="F3" s="132" t="s">
        <v>1322</v>
      </c>
      <c r="I3" s="7" t="s">
        <v>1323</v>
      </c>
      <c r="J3" s="7" t="s">
        <v>1328</v>
      </c>
    </row>
    <row r="4" spans="1:10" s="8" customFormat="1" ht="45" x14ac:dyDescent="0.25">
      <c r="A4" s="8" t="s">
        <v>4</v>
      </c>
      <c r="B4" s="9" t="s">
        <v>1060</v>
      </c>
      <c r="C4" s="4">
        <v>14</v>
      </c>
      <c r="D4" s="239"/>
      <c r="E4" s="236">
        <f>Odont_Instrum_Recor_Dent_Speed_Graph[[#This Row],[VALOR UNID]]*Odont_Instrum_Recor_Dados[[#This Row],[QUANT ]]</f>
        <v>0</v>
      </c>
      <c r="F4" s="236">
        <f>Odont_Instrum_Recor_Dent_Speed_Graph[[#This Row],[VALOR MÊS]]*12</f>
        <v>0</v>
      </c>
      <c r="I4" s="8">
        <f>Odont_Instrum_Recor_Dent_Speed_Graph[[#This Row],[VALOR UNID]]</f>
        <v>0</v>
      </c>
      <c r="J4" s="8" t="e">
        <f>#REF!</f>
        <v>#REF!</v>
      </c>
    </row>
    <row r="5" spans="1:10" s="8" customFormat="1" ht="45" x14ac:dyDescent="0.25">
      <c r="A5" s="8" t="s">
        <v>9</v>
      </c>
      <c r="B5" s="9" t="s">
        <v>904</v>
      </c>
      <c r="C5" s="4">
        <v>14</v>
      </c>
      <c r="D5" s="173"/>
      <c r="E5" s="15">
        <f>Odont_Instrum_Recor_Dent_Speed_Graph[[#This Row],[VALOR UNID]]*Odont_Instrum_Recor_Dados[[#This Row],[QUANT ]]</f>
        <v>0</v>
      </c>
      <c r="F5" s="15">
        <f>Odont_Instrum_Recor_Dent_Speed_Graph[[#This Row],[VALOR MÊS]]*12</f>
        <v>0</v>
      </c>
      <c r="I5" s="8">
        <f>Odont_Instrum_Recor_Dent_Speed_Graph[[#This Row],[VALOR UNID]]</f>
        <v>0</v>
      </c>
      <c r="J5" s="8" t="e">
        <f>#REF!</f>
        <v>#REF!</v>
      </c>
    </row>
    <row r="6" spans="1:10" s="8" customFormat="1" ht="45" x14ac:dyDescent="0.25">
      <c r="A6" s="8" t="s">
        <v>12</v>
      </c>
      <c r="B6" s="9" t="s">
        <v>905</v>
      </c>
      <c r="C6" s="4">
        <v>14</v>
      </c>
      <c r="D6" s="239"/>
      <c r="E6" s="236">
        <f>Odont_Instrum_Recor_Dent_Speed_Graph[[#This Row],[VALOR UNID]]*Odont_Instrum_Recor_Dados[[#This Row],[QUANT ]]</f>
        <v>0</v>
      </c>
      <c r="F6" s="236">
        <f>Odont_Instrum_Recor_Dent_Speed_Graph[[#This Row],[VALOR MÊS]]*12</f>
        <v>0</v>
      </c>
      <c r="I6" s="8">
        <f>Odont_Instrum_Recor_Dent_Speed_Graph[[#This Row],[VALOR UNID]]</f>
        <v>0</v>
      </c>
      <c r="J6" s="8" t="e">
        <f>#REF!</f>
        <v>#REF!</v>
      </c>
    </row>
    <row r="7" spans="1:10" s="8" customFormat="1" ht="45" x14ac:dyDescent="0.25">
      <c r="A7" s="8" t="s">
        <v>15</v>
      </c>
      <c r="B7" s="9" t="s">
        <v>906</v>
      </c>
      <c r="C7" s="4">
        <v>14</v>
      </c>
      <c r="D7" s="173"/>
      <c r="E7" s="15">
        <f>Odont_Instrum_Recor_Dent_Speed_Graph[[#This Row],[VALOR UNID]]*Odont_Instrum_Recor_Dados[[#This Row],[QUANT ]]</f>
        <v>0</v>
      </c>
      <c r="F7" s="15">
        <f>Odont_Instrum_Recor_Dent_Speed_Graph[[#This Row],[VALOR MÊS]]*12</f>
        <v>0</v>
      </c>
      <c r="I7" s="8">
        <f>Odont_Instrum_Recor_Dent_Speed_Graph[[#This Row],[VALOR UNID]]</f>
        <v>0</v>
      </c>
      <c r="J7" s="8" t="e">
        <f>#REF!</f>
        <v>#REF!</v>
      </c>
    </row>
    <row r="8" spans="1:10" s="8" customFormat="1" ht="45" x14ac:dyDescent="0.25">
      <c r="A8" s="8" t="s">
        <v>18</v>
      </c>
      <c r="B8" s="9" t="s">
        <v>907</v>
      </c>
      <c r="C8" s="4">
        <v>14</v>
      </c>
      <c r="D8" s="239"/>
      <c r="E8" s="236">
        <f>Odont_Instrum_Recor_Dent_Speed_Graph[[#This Row],[VALOR UNID]]*Odont_Instrum_Recor_Dados[[#This Row],[QUANT ]]</f>
        <v>0</v>
      </c>
      <c r="F8" s="236">
        <f>Odont_Instrum_Recor_Dent_Speed_Graph[[#This Row],[VALOR MÊS]]*12</f>
        <v>0</v>
      </c>
      <c r="I8" s="8">
        <f>Odont_Instrum_Recor_Dent_Speed_Graph[[#This Row],[VALOR UNID]]</f>
        <v>0</v>
      </c>
      <c r="J8" s="8" t="e">
        <f>#REF!</f>
        <v>#REF!</v>
      </c>
    </row>
    <row r="9" spans="1:10" s="8" customFormat="1" ht="45" x14ac:dyDescent="0.25">
      <c r="A9" s="8" t="s">
        <v>21</v>
      </c>
      <c r="B9" s="9" t="s">
        <v>908</v>
      </c>
      <c r="C9" s="4">
        <v>14</v>
      </c>
      <c r="D9" s="173"/>
      <c r="E9" s="15">
        <f>Odont_Instrum_Recor_Dent_Speed_Graph[[#This Row],[VALOR UNID]]*Odont_Instrum_Recor_Dados[[#This Row],[QUANT ]]</f>
        <v>0</v>
      </c>
      <c r="F9" s="15">
        <f>Odont_Instrum_Recor_Dent_Speed_Graph[[#This Row],[VALOR MÊS]]*12</f>
        <v>0</v>
      </c>
      <c r="I9" s="8">
        <f>Odont_Instrum_Recor_Dent_Speed_Graph[[#This Row],[VALOR UNID]]</f>
        <v>0</v>
      </c>
      <c r="J9" s="8" t="e">
        <f>#REF!</f>
        <v>#REF!</v>
      </c>
    </row>
    <row r="10" spans="1:10" s="8" customFormat="1" ht="45" x14ac:dyDescent="0.25">
      <c r="A10" s="8" t="s">
        <v>24</v>
      </c>
      <c r="B10" s="9" t="s">
        <v>909</v>
      </c>
      <c r="C10" s="4">
        <v>14</v>
      </c>
      <c r="D10" s="239"/>
      <c r="E10" s="236">
        <f>Odont_Instrum_Recor_Dent_Speed_Graph[[#This Row],[VALOR UNID]]*Odont_Instrum_Recor_Dados[[#This Row],[QUANT ]]</f>
        <v>0</v>
      </c>
      <c r="F10" s="236">
        <f>Odont_Instrum_Recor_Dent_Speed_Graph[[#This Row],[VALOR MÊS]]*12</f>
        <v>0</v>
      </c>
      <c r="I10" s="8">
        <f>Odont_Instrum_Recor_Dent_Speed_Graph[[#This Row],[VALOR UNID]]</f>
        <v>0</v>
      </c>
      <c r="J10" s="8" t="e">
        <f>#REF!</f>
        <v>#REF!</v>
      </c>
    </row>
    <row r="11" spans="1:10" s="8" customFormat="1" ht="45" x14ac:dyDescent="0.25">
      <c r="A11" s="8" t="s">
        <v>28</v>
      </c>
      <c r="B11" s="9" t="s">
        <v>910</v>
      </c>
      <c r="C11" s="4">
        <v>14</v>
      </c>
      <c r="D11" s="173"/>
      <c r="E11" s="15">
        <f>Odont_Instrum_Recor_Dent_Speed_Graph[[#This Row],[VALOR UNID]]*Odont_Instrum_Recor_Dados[[#This Row],[QUANT ]]</f>
        <v>0</v>
      </c>
      <c r="F11" s="15">
        <f>Odont_Instrum_Recor_Dent_Speed_Graph[[#This Row],[VALOR MÊS]]*12</f>
        <v>0</v>
      </c>
      <c r="I11" s="8">
        <f>Odont_Instrum_Recor_Dent_Speed_Graph[[#This Row],[VALOR UNID]]</f>
        <v>0</v>
      </c>
      <c r="J11" s="8" t="e">
        <f>#REF!</f>
        <v>#REF!</v>
      </c>
    </row>
    <row r="12" spans="1:10" s="8" customFormat="1" ht="45" x14ac:dyDescent="0.25">
      <c r="A12" s="8" t="s">
        <v>29</v>
      </c>
      <c r="B12" s="9" t="s">
        <v>1061</v>
      </c>
      <c r="C12" s="4">
        <v>14</v>
      </c>
      <c r="D12" s="239"/>
      <c r="E12" s="236">
        <f>Odont_Instrum_Recor_Dent_Speed_Graph[[#This Row],[VALOR UNID]]*Odont_Instrum_Recor_Dados[[#This Row],[QUANT ]]</f>
        <v>0</v>
      </c>
      <c r="F12" s="236">
        <f>Odont_Instrum_Recor_Dent_Speed_Graph[[#This Row],[VALOR MÊS]]*12</f>
        <v>0</v>
      </c>
      <c r="I12" s="8">
        <f>Odont_Instrum_Recor_Dent_Speed_Graph[[#This Row],[VALOR UNID]]</f>
        <v>0</v>
      </c>
      <c r="J12" s="8" t="e">
        <f>#REF!</f>
        <v>#REF!</v>
      </c>
    </row>
    <row r="13" spans="1:10" s="8" customFormat="1" ht="45" x14ac:dyDescent="0.25">
      <c r="A13" s="8" t="s">
        <v>31</v>
      </c>
      <c r="B13" s="9" t="s">
        <v>1062</v>
      </c>
      <c r="C13" s="4">
        <v>14</v>
      </c>
      <c r="D13" s="173"/>
      <c r="E13" s="15">
        <f>Odont_Instrum_Recor_Dent_Speed_Graph[[#This Row],[VALOR UNID]]*Odont_Instrum_Recor_Dados[[#This Row],[QUANT ]]</f>
        <v>0</v>
      </c>
      <c r="F13" s="15">
        <f>Odont_Instrum_Recor_Dent_Speed_Graph[[#This Row],[VALOR MÊS]]*12</f>
        <v>0</v>
      </c>
      <c r="I13" s="8">
        <f>Odont_Instrum_Recor_Dent_Speed_Graph[[#This Row],[VALOR UNID]]</f>
        <v>0</v>
      </c>
      <c r="J13" s="8" t="e">
        <f>#REF!</f>
        <v>#REF!</v>
      </c>
    </row>
    <row r="14" spans="1:10" s="8" customFormat="1" ht="45" x14ac:dyDescent="0.25">
      <c r="A14" s="8" t="s">
        <v>35</v>
      </c>
      <c r="B14" s="9" t="s">
        <v>1063</v>
      </c>
      <c r="C14" s="4">
        <v>14</v>
      </c>
      <c r="D14" s="239"/>
      <c r="E14" s="236">
        <f>Odont_Instrum_Recor_Dent_Speed_Graph[[#This Row],[VALOR UNID]]*Odont_Instrum_Recor_Dados[[#This Row],[QUANT ]]</f>
        <v>0</v>
      </c>
      <c r="F14" s="236">
        <f>Odont_Instrum_Recor_Dent_Speed_Graph[[#This Row],[VALOR MÊS]]*12</f>
        <v>0</v>
      </c>
      <c r="I14" s="8">
        <f>Odont_Instrum_Recor_Dent_Speed_Graph[[#This Row],[VALOR UNID]]</f>
        <v>0</v>
      </c>
      <c r="J14" s="8" t="e">
        <f>#REF!</f>
        <v>#REF!</v>
      </c>
    </row>
    <row r="15" spans="1:10" s="8" customFormat="1" ht="45" x14ac:dyDescent="0.25">
      <c r="A15" s="8" t="s">
        <v>37</v>
      </c>
      <c r="B15" s="9" t="s">
        <v>1064</v>
      </c>
      <c r="C15" s="4">
        <v>14</v>
      </c>
      <c r="D15" s="173"/>
      <c r="E15" s="15">
        <f>Odont_Instrum_Recor_Dent_Speed_Graph[[#This Row],[VALOR UNID]]*Odont_Instrum_Recor_Dados[[#This Row],[QUANT ]]</f>
        <v>0</v>
      </c>
      <c r="F15" s="15">
        <f>Odont_Instrum_Recor_Dent_Speed_Graph[[#This Row],[VALOR MÊS]]*12</f>
        <v>0</v>
      </c>
      <c r="I15" s="8">
        <f>Odont_Instrum_Recor_Dent_Speed_Graph[[#This Row],[VALOR UNID]]</f>
        <v>0</v>
      </c>
      <c r="J15" s="8" t="e">
        <f>#REF!</f>
        <v>#REF!</v>
      </c>
    </row>
    <row r="16" spans="1:10" s="8" customFormat="1" ht="45" x14ac:dyDescent="0.25">
      <c r="A16" s="8" t="s">
        <v>41</v>
      </c>
      <c r="B16" s="9" t="s">
        <v>1065</v>
      </c>
      <c r="C16" s="4">
        <v>14</v>
      </c>
      <c r="D16" s="239"/>
      <c r="E16" s="236">
        <f>Odont_Instrum_Recor_Dent_Speed_Graph[[#This Row],[VALOR UNID]]*Odont_Instrum_Recor_Dados[[#This Row],[QUANT ]]</f>
        <v>0</v>
      </c>
      <c r="F16" s="236">
        <f>Odont_Instrum_Recor_Dent_Speed_Graph[[#This Row],[VALOR MÊS]]*12</f>
        <v>0</v>
      </c>
      <c r="I16" s="8">
        <f>Odont_Instrum_Recor_Dent_Speed_Graph[[#This Row],[VALOR UNID]]</f>
        <v>0</v>
      </c>
      <c r="J16" s="8" t="e">
        <f>#REF!</f>
        <v>#REF!</v>
      </c>
    </row>
    <row r="17" spans="1:10" s="8" customFormat="1" ht="45" x14ac:dyDescent="0.25">
      <c r="A17" s="8" t="s">
        <v>43</v>
      </c>
      <c r="B17" s="9" t="s">
        <v>1066</v>
      </c>
      <c r="C17" s="4">
        <v>14</v>
      </c>
      <c r="D17" s="173"/>
      <c r="E17" s="15">
        <f>Odont_Instrum_Recor_Dent_Speed_Graph[[#This Row],[VALOR UNID]]*Odont_Instrum_Recor_Dados[[#This Row],[QUANT ]]</f>
        <v>0</v>
      </c>
      <c r="F17" s="15">
        <f>Odont_Instrum_Recor_Dent_Speed_Graph[[#This Row],[VALOR MÊS]]*12</f>
        <v>0</v>
      </c>
      <c r="I17" s="8">
        <f>Odont_Instrum_Recor_Dent_Speed_Graph[[#This Row],[VALOR UNID]]</f>
        <v>0</v>
      </c>
      <c r="J17" s="8" t="e">
        <f>#REF!</f>
        <v>#REF!</v>
      </c>
    </row>
    <row r="18" spans="1:10" s="8" customFormat="1" ht="45" x14ac:dyDescent="0.25">
      <c r="A18" s="8" t="s">
        <v>46</v>
      </c>
      <c r="B18" s="48" t="s">
        <v>1067</v>
      </c>
      <c r="C18" s="4">
        <v>14</v>
      </c>
      <c r="D18" s="239"/>
      <c r="E18" s="236">
        <f>Odont_Instrum_Recor_Dent_Speed_Graph[[#This Row],[VALOR UNID]]*Odont_Instrum_Recor_Dados[[#This Row],[QUANT ]]</f>
        <v>0</v>
      </c>
      <c r="F18" s="236">
        <f>Odont_Instrum_Recor_Dent_Speed_Graph[[#This Row],[VALOR MÊS]]*12</f>
        <v>0</v>
      </c>
      <c r="I18" s="8">
        <f>Odont_Instrum_Recor_Dent_Speed_Graph[[#This Row],[VALOR UNID]]</f>
        <v>0</v>
      </c>
      <c r="J18" s="8" t="e">
        <f>#REF!</f>
        <v>#REF!</v>
      </c>
    </row>
    <row r="19" spans="1:10" s="8" customFormat="1" ht="45" x14ac:dyDescent="0.25">
      <c r="A19" s="8" t="s">
        <v>49</v>
      </c>
      <c r="B19" s="48" t="s">
        <v>1068</v>
      </c>
      <c r="C19" s="4">
        <v>14</v>
      </c>
      <c r="D19" s="173"/>
      <c r="E19" s="15">
        <f>Odont_Instrum_Recor_Dent_Speed_Graph[[#This Row],[VALOR UNID]]*Odont_Instrum_Recor_Dados[[#This Row],[QUANT ]]</f>
        <v>0</v>
      </c>
      <c r="F19" s="15">
        <f>Odont_Instrum_Recor_Dent_Speed_Graph[[#This Row],[VALOR MÊS]]*12</f>
        <v>0</v>
      </c>
      <c r="I19" s="8">
        <f>Odont_Instrum_Recor_Dent_Speed_Graph[[#This Row],[VALOR UNID]]</f>
        <v>0</v>
      </c>
      <c r="J19" s="8" t="e">
        <f>#REF!</f>
        <v>#REF!</v>
      </c>
    </row>
    <row r="20" spans="1:10" s="8" customFormat="1" ht="45" x14ac:dyDescent="0.25">
      <c r="A20" s="8" t="s">
        <v>53</v>
      </c>
      <c r="B20" s="48" t="s">
        <v>911</v>
      </c>
      <c r="C20" s="4">
        <v>14</v>
      </c>
      <c r="D20" s="239"/>
      <c r="E20" s="236">
        <f>Odont_Instrum_Recor_Dent_Speed_Graph[[#This Row],[VALOR UNID]]*Odont_Instrum_Recor_Dados[[#This Row],[QUANT ]]</f>
        <v>0</v>
      </c>
      <c r="F20" s="236">
        <f>Odont_Instrum_Recor_Dent_Speed_Graph[[#This Row],[VALOR MÊS]]*12</f>
        <v>0</v>
      </c>
      <c r="I20" s="8">
        <f>Odont_Instrum_Recor_Dent_Speed_Graph[[#This Row],[VALOR UNID]]</f>
        <v>0</v>
      </c>
      <c r="J20" s="8" t="e">
        <f>#REF!</f>
        <v>#REF!</v>
      </c>
    </row>
    <row r="21" spans="1:10" s="8" customFormat="1" ht="45" x14ac:dyDescent="0.25">
      <c r="A21" s="8" t="s">
        <v>57</v>
      </c>
      <c r="B21" s="48" t="s">
        <v>912</v>
      </c>
      <c r="C21" s="4">
        <v>14</v>
      </c>
      <c r="D21" s="173"/>
      <c r="E21" s="15">
        <f>Odont_Instrum_Recor_Dent_Speed_Graph[[#This Row],[VALOR UNID]]*Odont_Instrum_Recor_Dados[[#This Row],[QUANT ]]</f>
        <v>0</v>
      </c>
      <c r="F21" s="15">
        <f>Odont_Instrum_Recor_Dent_Speed_Graph[[#This Row],[VALOR MÊS]]*12</f>
        <v>0</v>
      </c>
      <c r="I21" s="8">
        <f>Odont_Instrum_Recor_Dent_Speed_Graph[[#This Row],[VALOR UNID]]</f>
        <v>0</v>
      </c>
      <c r="J21" s="8" t="e">
        <f>#REF!</f>
        <v>#REF!</v>
      </c>
    </row>
    <row r="22" spans="1:10" s="8" customFormat="1" ht="45" x14ac:dyDescent="0.25">
      <c r="A22" s="8" t="s">
        <v>59</v>
      </c>
      <c r="B22" s="48" t="s">
        <v>913</v>
      </c>
      <c r="C22" s="4">
        <v>14</v>
      </c>
      <c r="D22" s="239"/>
      <c r="E22" s="236">
        <f>Odont_Instrum_Recor_Dent_Speed_Graph[[#This Row],[VALOR UNID]]*Odont_Instrum_Recor_Dados[[#This Row],[QUANT ]]</f>
        <v>0</v>
      </c>
      <c r="F22" s="236">
        <f>Odont_Instrum_Recor_Dent_Speed_Graph[[#This Row],[VALOR MÊS]]*12</f>
        <v>0</v>
      </c>
      <c r="I22" s="8">
        <f>Odont_Instrum_Recor_Dent_Speed_Graph[[#This Row],[VALOR UNID]]</f>
        <v>0</v>
      </c>
      <c r="J22" s="8" t="e">
        <f>#REF!</f>
        <v>#REF!</v>
      </c>
    </row>
    <row r="23" spans="1:10" s="8" customFormat="1" ht="45" x14ac:dyDescent="0.25">
      <c r="A23" s="8" t="s">
        <v>62</v>
      </c>
      <c r="B23" s="48" t="s">
        <v>914</v>
      </c>
      <c r="C23" s="4">
        <v>14</v>
      </c>
      <c r="D23" s="173"/>
      <c r="E23" s="15">
        <f>Odont_Instrum_Recor_Dent_Speed_Graph[[#This Row],[VALOR UNID]]*Odont_Instrum_Recor_Dados[[#This Row],[QUANT ]]</f>
        <v>0</v>
      </c>
      <c r="F23" s="15">
        <f>Odont_Instrum_Recor_Dent_Speed_Graph[[#This Row],[VALOR MÊS]]*12</f>
        <v>0</v>
      </c>
      <c r="I23" s="8">
        <f>Odont_Instrum_Recor_Dent_Speed_Graph[[#This Row],[VALOR UNID]]</f>
        <v>0</v>
      </c>
      <c r="J23" s="8" t="e">
        <f>#REF!</f>
        <v>#REF!</v>
      </c>
    </row>
    <row r="24" spans="1:10" s="8" customFormat="1" ht="45" x14ac:dyDescent="0.25">
      <c r="A24" s="8" t="s">
        <v>65</v>
      </c>
      <c r="B24" s="48" t="s">
        <v>915</v>
      </c>
      <c r="C24" s="4">
        <v>14</v>
      </c>
      <c r="D24" s="239"/>
      <c r="E24" s="236">
        <f>Odont_Instrum_Recor_Dent_Speed_Graph[[#This Row],[VALOR UNID]]*Odont_Instrum_Recor_Dados[[#This Row],[QUANT ]]</f>
        <v>0</v>
      </c>
      <c r="F24" s="236">
        <f>Odont_Instrum_Recor_Dent_Speed_Graph[[#This Row],[VALOR MÊS]]*12</f>
        <v>0</v>
      </c>
      <c r="I24" s="8">
        <f>Odont_Instrum_Recor_Dent_Speed_Graph[[#This Row],[VALOR UNID]]</f>
        <v>0</v>
      </c>
      <c r="J24" s="8" t="e">
        <f>#REF!</f>
        <v>#REF!</v>
      </c>
    </row>
    <row r="25" spans="1:10" s="8" customFormat="1" x14ac:dyDescent="0.25">
      <c r="A25" s="8" t="s">
        <v>67</v>
      </c>
      <c r="B25" s="48" t="s">
        <v>916</v>
      </c>
      <c r="C25" s="4">
        <v>14</v>
      </c>
      <c r="D25" s="173"/>
      <c r="E25" s="15">
        <f>Odont_Instrum_Recor_Dent_Speed_Graph[[#This Row],[VALOR UNID]]*Odont_Instrum_Recor_Dados[[#This Row],[QUANT ]]</f>
        <v>0</v>
      </c>
      <c r="F25" s="15">
        <f>Odont_Instrum_Recor_Dent_Speed_Graph[[#This Row],[VALOR MÊS]]*12</f>
        <v>0</v>
      </c>
      <c r="I25" s="8">
        <f>Odont_Instrum_Recor_Dent_Speed_Graph[[#This Row],[VALOR UNID]]</f>
        <v>0</v>
      </c>
      <c r="J25" s="8" t="e">
        <f>#REF!</f>
        <v>#REF!</v>
      </c>
    </row>
    <row r="26" spans="1:10" s="8" customFormat="1" ht="22.5" x14ac:dyDescent="0.25">
      <c r="A26" s="8" t="s">
        <v>70</v>
      </c>
      <c r="B26" s="48" t="s">
        <v>917</v>
      </c>
      <c r="C26" s="4">
        <v>14</v>
      </c>
      <c r="D26" s="239"/>
      <c r="E26" s="236">
        <f>Odont_Instrum_Recor_Dent_Speed_Graph[[#This Row],[VALOR UNID]]/6*(Odont_Instrum_Recor_Dados[[#This Row],[QUANT ]])</f>
        <v>0</v>
      </c>
      <c r="F26" s="240">
        <f>Odont_Instrum_Recor_Dent_Speed_Graph[[#This Row],[VALOR MÊS]]*12</f>
        <v>0</v>
      </c>
      <c r="I26" s="8">
        <f>Odont_Instrum_Recor_Dent_Speed_Graph[[#This Row],[VALOR UNID]]</f>
        <v>0</v>
      </c>
      <c r="J26" s="8" t="e">
        <f>#REF!</f>
        <v>#REF!</v>
      </c>
    </row>
    <row r="27" spans="1:10" s="8" customFormat="1" ht="22.5" x14ac:dyDescent="0.25">
      <c r="A27" s="8" t="s">
        <v>73</v>
      </c>
      <c r="B27" s="48" t="s">
        <v>918</v>
      </c>
      <c r="C27" s="4">
        <v>14</v>
      </c>
      <c r="D27" s="173"/>
      <c r="E27" s="15">
        <f>Odont_Instrum_Recor_Dent_Speed_Graph[[#This Row],[VALOR UNID]]/6*(Odont_Instrum_Recor_Dados[[#This Row],[QUANT ]])</f>
        <v>0</v>
      </c>
      <c r="F27" s="18">
        <f>Odont_Instrum_Recor_Dent_Speed_Graph[[#This Row],[VALOR MÊS]]*12</f>
        <v>0</v>
      </c>
      <c r="I27" s="8">
        <f>Odont_Instrum_Recor_Dent_Speed_Graph[[#This Row],[VALOR UNID]]</f>
        <v>0</v>
      </c>
      <c r="J27" s="8" t="e">
        <f>#REF!</f>
        <v>#REF!</v>
      </c>
    </row>
    <row r="28" spans="1:10" s="8" customFormat="1" ht="22.5" x14ac:dyDescent="0.25">
      <c r="A28" s="8" t="s">
        <v>75</v>
      </c>
      <c r="B28" s="48" t="s">
        <v>1605</v>
      </c>
      <c r="C28" s="4">
        <v>14</v>
      </c>
      <c r="D28" s="239"/>
      <c r="E28" s="236">
        <f>Odont_Instrum_Recor_Dent_Speed_Graph[[#This Row],[VALOR UNID]]/6*(Odont_Instrum_Recor_Dados[[#This Row],[QUANT ]])</f>
        <v>0</v>
      </c>
      <c r="F28" s="240">
        <f>Odont_Instrum_Recor_Dent_Speed_Graph[[#This Row],[VALOR MÊS]]*12</f>
        <v>0</v>
      </c>
      <c r="I28" s="8">
        <f>Odont_Instrum_Recor_Dent_Speed_Graph[[#This Row],[VALOR UNID]]</f>
        <v>0</v>
      </c>
      <c r="J28" s="8" t="e">
        <f>#REF!</f>
        <v>#REF!</v>
      </c>
    </row>
    <row r="29" spans="1:10" s="8" customFormat="1" ht="33.75" x14ac:dyDescent="0.25">
      <c r="A29" s="8" t="s">
        <v>79</v>
      </c>
      <c r="B29" s="48" t="s">
        <v>919</v>
      </c>
      <c r="C29" s="4">
        <v>14</v>
      </c>
      <c r="D29" s="173"/>
      <c r="E29" s="15">
        <f>Odont_Instrum_Recor_Dent_Speed_Graph[[#This Row],[VALOR UNID]]/12*(Odont_Instrum_Recor_Dados[[#This Row],[QUANT ]])</f>
        <v>0</v>
      </c>
      <c r="F29" s="18">
        <f>Odont_Instrum_Recor_Dent_Speed_Graph[[#This Row],[VALOR MÊS]]*12</f>
        <v>0</v>
      </c>
      <c r="I29" s="8">
        <f>Odont_Instrum_Recor_Dent_Speed_Graph[[#This Row],[VALOR UNID]]</f>
        <v>0</v>
      </c>
      <c r="J29" s="8" t="e">
        <f>#REF!</f>
        <v>#REF!</v>
      </c>
    </row>
    <row r="30" spans="1:10" s="8" customFormat="1" ht="33.75" x14ac:dyDescent="0.25">
      <c r="A30" s="8" t="s">
        <v>82</v>
      </c>
      <c r="B30" s="48" t="s">
        <v>920</v>
      </c>
      <c r="C30" s="4">
        <v>14</v>
      </c>
      <c r="D30" s="239"/>
      <c r="E30" s="236">
        <f>Odont_Instrum_Recor_Dent_Speed_Graph[[#This Row],[VALOR UNID]]/12*(Odont_Instrum_Recor_Dados[[#This Row],[QUANT ]])</f>
        <v>0</v>
      </c>
      <c r="F30" s="240">
        <f>Odont_Instrum_Recor_Dent_Speed_Graph[[#This Row],[VALOR MÊS]]*12</f>
        <v>0</v>
      </c>
      <c r="I30" s="8">
        <f>Odont_Instrum_Recor_Dent_Speed_Graph[[#This Row],[VALOR UNID]]</f>
        <v>0</v>
      </c>
      <c r="J30" s="8" t="e">
        <f>#REF!</f>
        <v>#REF!</v>
      </c>
    </row>
    <row r="31" spans="1:10" s="8" customFormat="1" ht="33.75" x14ac:dyDescent="0.25">
      <c r="A31" s="8" t="s">
        <v>86</v>
      </c>
      <c r="B31" s="48" t="s">
        <v>1069</v>
      </c>
      <c r="C31" s="4">
        <v>14</v>
      </c>
      <c r="D31" s="173"/>
      <c r="E31" s="15">
        <f>Odont_Instrum_Recor_Dent_Speed_Graph[[#This Row],[VALOR UNID]]/3*(Odont_Instrum_Recor_Dados[[#This Row],[QUANT ]])</f>
        <v>0</v>
      </c>
      <c r="F31" s="18">
        <f>Odont_Instrum_Recor_Dent_Speed_Graph[[#This Row],[VALOR MÊS]]*12</f>
        <v>0</v>
      </c>
      <c r="I31" s="8">
        <f>Odont_Instrum_Recor_Dent_Speed_Graph[[#This Row],[VALOR UNID]]</f>
        <v>0</v>
      </c>
      <c r="J31" s="8" t="e">
        <f>#REF!</f>
        <v>#REF!</v>
      </c>
    </row>
    <row r="32" spans="1:10" s="8" customFormat="1" ht="33.75" x14ac:dyDescent="0.25">
      <c r="A32" s="8" t="s">
        <v>88</v>
      </c>
      <c r="B32" s="48" t="s">
        <v>1070</v>
      </c>
      <c r="C32" s="4">
        <v>14</v>
      </c>
      <c r="D32" s="239"/>
      <c r="E32" s="236">
        <f>Odont_Instrum_Recor_Dent_Speed_Graph[[#This Row],[VALOR UNID]]/3*(Odont_Instrum_Recor_Dados[[#This Row],[QUANT ]])</f>
        <v>0</v>
      </c>
      <c r="F32" s="240">
        <f>Odont_Instrum_Recor_Dent_Speed_Graph[[#This Row],[VALOR MÊS]]*12</f>
        <v>0</v>
      </c>
      <c r="I32" s="8">
        <f>Odont_Instrum_Recor_Dent_Speed_Graph[[#This Row],[VALOR UNID]]</f>
        <v>0</v>
      </c>
      <c r="J32" s="8" t="e">
        <f>#REF!</f>
        <v>#REF!</v>
      </c>
    </row>
    <row r="33" spans="1:10" s="8" customFormat="1" x14ac:dyDescent="0.25">
      <c r="A33" s="8" t="s">
        <v>91</v>
      </c>
      <c r="B33" s="48" t="s">
        <v>921</v>
      </c>
      <c r="C33" s="4">
        <v>14</v>
      </c>
      <c r="D33" s="173"/>
      <c r="E33" s="15">
        <f>Odont_Instrum_Recor_Dent_Speed_Graph[[#This Row],[VALOR UNID]]/6*(Odont_Instrum_Recor_Dados[[#This Row],[QUANT ]])</f>
        <v>0</v>
      </c>
      <c r="F33" s="18">
        <f>Odont_Instrum_Recor_Dent_Speed_Graph[[#This Row],[VALOR MÊS]]*12</f>
        <v>0</v>
      </c>
      <c r="I33" s="8">
        <f>Odont_Instrum_Recor_Dent_Speed_Graph[[#This Row],[VALOR UNID]]</f>
        <v>0</v>
      </c>
      <c r="J33" s="8" t="e">
        <f>#REF!</f>
        <v>#REF!</v>
      </c>
    </row>
    <row r="34" spans="1:10" s="8" customFormat="1" x14ac:dyDescent="0.25">
      <c r="A34" s="8" t="s">
        <v>94</v>
      </c>
      <c r="B34" s="48" t="s">
        <v>922</v>
      </c>
      <c r="C34" s="4">
        <v>14</v>
      </c>
      <c r="D34" s="239"/>
      <c r="E34" s="236">
        <f>Odont_Instrum_Recor_Dent_Speed_Graph[[#This Row],[VALOR UNID]]/3*(Odont_Instrum_Recor_Dados[[#This Row],[QUANT ]])</f>
        <v>0</v>
      </c>
      <c r="F34" s="240">
        <f>Odont_Instrum_Recor_Dent_Speed_Graph[[#This Row],[VALOR MÊS]]*12</f>
        <v>0</v>
      </c>
      <c r="I34" s="8">
        <f>Odont_Instrum_Recor_Dent_Speed_Graph[[#This Row],[VALOR UNID]]</f>
        <v>0</v>
      </c>
      <c r="J34" s="8" t="e">
        <f>#REF!</f>
        <v>#REF!</v>
      </c>
    </row>
    <row r="35" spans="1:10" s="8" customFormat="1" x14ac:dyDescent="0.25">
      <c r="A35" s="17"/>
      <c r="B35" s="48"/>
      <c r="C35" s="161">
        <f t="shared" ref="C35" si="0">SUBTOTAL(109,C4:C34)</f>
        <v>434</v>
      </c>
      <c r="D35" s="137"/>
      <c r="E35" s="139">
        <f>SUBTOTAL(109,E4:E34)</f>
        <v>0</v>
      </c>
      <c r="F35" s="139">
        <f>SUBTOTAL(109,F4:F34)</f>
        <v>0</v>
      </c>
    </row>
    <row r="36" spans="1:10" s="8" customFormat="1" x14ac:dyDescent="0.25">
      <c r="A36" s="3"/>
      <c r="B36" s="10"/>
      <c r="C36" s="3"/>
      <c r="D36" s="131"/>
      <c r="E36" s="133"/>
      <c r="F36" s="133"/>
    </row>
    <row r="37" spans="1:10" s="8" customFormat="1" x14ac:dyDescent="0.25">
      <c r="A37" s="3"/>
      <c r="B37" s="10"/>
      <c r="C37" s="3"/>
      <c r="D37" s="131"/>
      <c r="E37" s="133"/>
      <c r="F37" s="133"/>
    </row>
    <row r="38" spans="1:10" s="8" customFormat="1" x14ac:dyDescent="0.25">
      <c r="A38" s="3"/>
      <c r="B38" s="10"/>
      <c r="C38" s="3"/>
      <c r="D38" s="131"/>
      <c r="E38" s="133"/>
      <c r="F38" s="133"/>
    </row>
    <row r="39" spans="1:10" s="8" customFormat="1" x14ac:dyDescent="0.25">
      <c r="A39" s="3"/>
      <c r="B39" s="10"/>
      <c r="C39" s="3"/>
      <c r="D39" s="131"/>
      <c r="E39" s="133"/>
      <c r="F39" s="133"/>
    </row>
    <row r="40" spans="1:10" s="8" customFormat="1" x14ac:dyDescent="0.25">
      <c r="A40" s="3"/>
      <c r="B40" s="10"/>
      <c r="C40" s="3"/>
      <c r="D40" s="131"/>
      <c r="E40" s="133"/>
      <c r="F40" s="133"/>
    </row>
    <row r="41" spans="1:10" s="8" customFormat="1" x14ac:dyDescent="0.25">
      <c r="A41" s="3"/>
      <c r="B41" s="10"/>
      <c r="C41" s="3"/>
      <c r="D41" s="131"/>
      <c r="E41" s="133"/>
      <c r="F41" s="133"/>
    </row>
    <row r="42" spans="1:10" s="8" customFormat="1" x14ac:dyDescent="0.25">
      <c r="A42" s="3"/>
      <c r="B42" s="10"/>
      <c r="C42" s="3"/>
      <c r="D42" s="131"/>
      <c r="E42" s="133"/>
      <c r="F42" s="133"/>
    </row>
    <row r="43" spans="1:10" s="8" customFormat="1" x14ac:dyDescent="0.25">
      <c r="A43" s="3"/>
      <c r="B43" s="10"/>
      <c r="C43" s="3"/>
      <c r="D43" s="131"/>
      <c r="E43" s="133"/>
      <c r="F43" s="133"/>
    </row>
    <row r="44" spans="1:10" s="8" customFormat="1" x14ac:dyDescent="0.25">
      <c r="A44" s="3"/>
      <c r="B44" s="10"/>
      <c r="C44" s="3"/>
      <c r="D44" s="131"/>
      <c r="E44" s="133"/>
      <c r="F44" s="133"/>
    </row>
    <row r="45" spans="1:10" s="8" customFormat="1" x14ac:dyDescent="0.25">
      <c r="A45" s="3"/>
      <c r="B45" s="10"/>
      <c r="C45" s="3"/>
      <c r="D45" s="131"/>
      <c r="E45" s="133"/>
      <c r="F45" s="133"/>
    </row>
    <row r="46" spans="1:10" s="8" customFormat="1" x14ac:dyDescent="0.25">
      <c r="A46" s="3"/>
      <c r="B46" s="10"/>
      <c r="C46" s="3"/>
      <c r="D46" s="131"/>
      <c r="E46" s="133"/>
      <c r="F46" s="133"/>
    </row>
    <row r="47" spans="1:10" s="8" customFormat="1" x14ac:dyDescent="0.25">
      <c r="A47" s="3"/>
      <c r="B47" s="10"/>
      <c r="C47" s="3"/>
      <c r="D47" s="131"/>
      <c r="E47" s="133"/>
      <c r="F47" s="133"/>
    </row>
    <row r="48" spans="1:10" s="8" customFormat="1" x14ac:dyDescent="0.25">
      <c r="A48" s="3"/>
      <c r="B48" s="10"/>
      <c r="C48" s="3"/>
      <c r="D48" s="131"/>
      <c r="E48" s="133"/>
      <c r="F48" s="133"/>
    </row>
    <row r="49" spans="1:6" s="8" customFormat="1" x14ac:dyDescent="0.25">
      <c r="A49" s="3"/>
      <c r="B49" s="10"/>
      <c r="C49" s="3"/>
      <c r="D49" s="131"/>
      <c r="E49" s="133"/>
      <c r="F49" s="133"/>
    </row>
    <row r="50" spans="1:6" s="8" customFormat="1" x14ac:dyDescent="0.25">
      <c r="A50" s="3"/>
      <c r="B50" s="10"/>
      <c r="C50" s="3"/>
      <c r="D50" s="131"/>
      <c r="E50" s="133"/>
      <c r="F50" s="133"/>
    </row>
    <row r="51" spans="1:6" s="8" customFormat="1" x14ac:dyDescent="0.25">
      <c r="A51" s="3"/>
      <c r="B51" s="10"/>
      <c r="C51" s="3"/>
      <c r="D51" s="131"/>
      <c r="E51" s="133"/>
      <c r="F51" s="133"/>
    </row>
    <row r="52" spans="1:6" s="8" customFormat="1" x14ac:dyDescent="0.25">
      <c r="A52" s="3"/>
      <c r="B52" s="10"/>
      <c r="C52" s="3"/>
      <c r="D52" s="131"/>
      <c r="E52" s="133"/>
      <c r="F52" s="133"/>
    </row>
    <row r="53" spans="1:6" s="8" customFormat="1" x14ac:dyDescent="0.25">
      <c r="A53" s="3"/>
      <c r="B53" s="10"/>
      <c r="C53" s="3"/>
      <c r="D53" s="131"/>
      <c r="E53" s="133"/>
      <c r="F53" s="133"/>
    </row>
    <row r="54" spans="1:6" s="8" customFormat="1" x14ac:dyDescent="0.25">
      <c r="A54" s="3"/>
      <c r="B54" s="10"/>
      <c r="C54" s="3"/>
      <c r="D54" s="131"/>
      <c r="E54" s="133"/>
      <c r="F54" s="133"/>
    </row>
    <row r="55" spans="1:6" s="8" customFormat="1" x14ac:dyDescent="0.25">
      <c r="A55" s="3"/>
      <c r="B55" s="10"/>
      <c r="C55" s="3"/>
      <c r="D55" s="131"/>
      <c r="E55" s="133"/>
      <c r="F55" s="133"/>
    </row>
    <row r="56" spans="1:6" s="8" customFormat="1" x14ac:dyDescent="0.25">
      <c r="A56" s="3"/>
      <c r="B56" s="10"/>
      <c r="C56" s="3"/>
      <c r="D56" s="131"/>
      <c r="E56" s="133"/>
      <c r="F56" s="133"/>
    </row>
    <row r="57" spans="1:6" s="8" customFormat="1" x14ac:dyDescent="0.25">
      <c r="A57" s="3"/>
      <c r="B57" s="10"/>
      <c r="C57" s="3"/>
      <c r="D57" s="131"/>
      <c r="E57" s="133"/>
      <c r="F57" s="133"/>
    </row>
    <row r="58" spans="1:6" s="8" customFormat="1" x14ac:dyDescent="0.25">
      <c r="A58" s="3"/>
      <c r="B58" s="10"/>
      <c r="C58" s="3"/>
      <c r="D58" s="131"/>
      <c r="E58" s="133"/>
      <c r="F58" s="133"/>
    </row>
    <row r="59" spans="1:6" s="8" customFormat="1" x14ac:dyDescent="0.25">
      <c r="A59" s="3"/>
      <c r="B59" s="10"/>
      <c r="C59" s="3"/>
      <c r="D59" s="131"/>
      <c r="E59" s="133"/>
      <c r="F59" s="133"/>
    </row>
    <row r="60" spans="1:6" s="8" customFormat="1" x14ac:dyDescent="0.25">
      <c r="A60" s="3"/>
      <c r="B60" s="10"/>
      <c r="C60" s="3"/>
      <c r="D60" s="131"/>
      <c r="E60" s="133"/>
      <c r="F60" s="133"/>
    </row>
    <row r="61" spans="1:6" s="8" customFormat="1" x14ac:dyDescent="0.25">
      <c r="A61" s="3"/>
      <c r="B61" s="10"/>
      <c r="C61" s="3"/>
      <c r="D61" s="131"/>
      <c r="E61" s="133"/>
      <c r="F61" s="133"/>
    </row>
    <row r="62" spans="1:6" s="8" customFormat="1" x14ac:dyDescent="0.25">
      <c r="A62" s="3"/>
      <c r="B62" s="10"/>
      <c r="C62" s="3"/>
      <c r="D62" s="131"/>
      <c r="E62" s="133"/>
      <c r="F62" s="133"/>
    </row>
    <row r="63" spans="1:6" s="8" customFormat="1" x14ac:dyDescent="0.25">
      <c r="A63" s="3"/>
      <c r="B63" s="10"/>
      <c r="C63" s="3"/>
      <c r="D63" s="131"/>
      <c r="E63" s="133"/>
      <c r="F63" s="133"/>
    </row>
    <row r="64" spans="1:6" s="8" customFormat="1" x14ac:dyDescent="0.25">
      <c r="A64" s="3"/>
      <c r="B64" s="10"/>
      <c r="C64" s="3"/>
      <c r="D64" s="131"/>
      <c r="E64" s="133"/>
      <c r="F64" s="133"/>
    </row>
    <row r="65" spans="1:6" s="8" customFormat="1" x14ac:dyDescent="0.25">
      <c r="A65" s="3"/>
      <c r="B65" s="10"/>
      <c r="C65" s="3"/>
      <c r="D65" s="131"/>
      <c r="E65" s="133"/>
      <c r="F65" s="133"/>
    </row>
    <row r="66" spans="1:6" s="8" customFormat="1" x14ac:dyDescent="0.25">
      <c r="A66" s="3"/>
      <c r="B66" s="10"/>
      <c r="C66" s="3"/>
      <c r="D66" s="131"/>
      <c r="E66" s="133"/>
      <c r="F66" s="133"/>
    </row>
    <row r="67" spans="1:6" s="8" customFormat="1" x14ac:dyDescent="0.25">
      <c r="A67" s="3"/>
      <c r="B67" s="10"/>
      <c r="C67" s="3"/>
      <c r="D67" s="131"/>
      <c r="E67" s="133"/>
      <c r="F67" s="133"/>
    </row>
    <row r="68" spans="1:6" s="8" customFormat="1" x14ac:dyDescent="0.25">
      <c r="A68" s="3"/>
      <c r="B68" s="10"/>
      <c r="C68" s="3"/>
      <c r="D68" s="131"/>
      <c r="E68" s="133"/>
      <c r="F68" s="133"/>
    </row>
    <row r="69" spans="1:6" s="8" customFormat="1" x14ac:dyDescent="0.25">
      <c r="A69" s="3"/>
      <c r="B69" s="10"/>
      <c r="C69" s="3"/>
      <c r="D69" s="131"/>
      <c r="E69" s="133"/>
      <c r="F69" s="133"/>
    </row>
    <row r="70" spans="1:6" s="8" customFormat="1" x14ac:dyDescent="0.25">
      <c r="A70" s="3"/>
      <c r="B70" s="10"/>
      <c r="C70" s="3"/>
      <c r="D70" s="131"/>
      <c r="E70" s="133"/>
      <c r="F70" s="133"/>
    </row>
    <row r="71" spans="1:6" s="8" customFormat="1" x14ac:dyDescent="0.25">
      <c r="A71" s="3"/>
      <c r="B71" s="10"/>
      <c r="C71" s="3"/>
      <c r="D71" s="131"/>
      <c r="E71" s="133"/>
      <c r="F71" s="133"/>
    </row>
    <row r="72" spans="1:6" s="8" customFormat="1" x14ac:dyDescent="0.25">
      <c r="A72" s="3"/>
      <c r="B72" s="10"/>
      <c r="C72" s="3"/>
      <c r="D72" s="131"/>
      <c r="E72" s="133"/>
      <c r="F72" s="133"/>
    </row>
    <row r="73" spans="1:6" s="8" customFormat="1" x14ac:dyDescent="0.25">
      <c r="A73" s="3"/>
      <c r="B73" s="10"/>
      <c r="C73" s="3"/>
      <c r="D73" s="131"/>
      <c r="E73" s="133"/>
      <c r="F73" s="133"/>
    </row>
    <row r="74" spans="1:6" s="8" customFormat="1" x14ac:dyDescent="0.25">
      <c r="A74" s="3"/>
      <c r="B74" s="10"/>
      <c r="C74" s="3"/>
      <c r="D74" s="131"/>
      <c r="E74" s="133"/>
      <c r="F74" s="133"/>
    </row>
    <row r="75" spans="1:6" s="8" customFormat="1" x14ac:dyDescent="0.25">
      <c r="A75" s="3"/>
      <c r="B75" s="10"/>
      <c r="C75" s="3"/>
      <c r="D75" s="131"/>
      <c r="E75" s="133"/>
      <c r="F75" s="133"/>
    </row>
    <row r="76" spans="1:6" s="8" customFormat="1" x14ac:dyDescent="0.25">
      <c r="A76" s="3"/>
      <c r="B76" s="10"/>
      <c r="C76" s="3"/>
      <c r="D76" s="131"/>
      <c r="E76" s="133"/>
      <c r="F76" s="133"/>
    </row>
    <row r="77" spans="1:6" s="8" customFormat="1" x14ac:dyDescent="0.25">
      <c r="A77" s="3"/>
      <c r="B77" s="10"/>
      <c r="C77" s="3"/>
      <c r="D77" s="131"/>
      <c r="E77" s="133"/>
      <c r="F77" s="133"/>
    </row>
    <row r="78" spans="1:6" s="8" customFormat="1" x14ac:dyDescent="0.25">
      <c r="A78" s="3"/>
      <c r="B78" s="10"/>
      <c r="C78" s="3"/>
      <c r="D78" s="131"/>
      <c r="E78" s="133"/>
      <c r="F78" s="133"/>
    </row>
    <row r="79" spans="1:6" s="8" customFormat="1" x14ac:dyDescent="0.25">
      <c r="A79" s="3"/>
      <c r="B79" s="10"/>
      <c r="C79" s="3"/>
      <c r="D79" s="131"/>
      <c r="E79" s="133"/>
      <c r="F79" s="133"/>
    </row>
    <row r="80" spans="1:6" s="8" customFormat="1" x14ac:dyDescent="0.25">
      <c r="A80" s="3"/>
      <c r="B80" s="10"/>
      <c r="C80" s="3"/>
      <c r="D80" s="131"/>
      <c r="E80" s="133"/>
      <c r="F80" s="133"/>
    </row>
    <row r="81" spans="1:6" s="8" customFormat="1" x14ac:dyDescent="0.25">
      <c r="A81" s="3"/>
      <c r="B81" s="10"/>
      <c r="C81" s="3"/>
      <c r="D81" s="131"/>
      <c r="E81" s="133"/>
      <c r="F81" s="133"/>
    </row>
    <row r="82" spans="1:6" s="8" customFormat="1" x14ac:dyDescent="0.25">
      <c r="A82" s="3"/>
      <c r="B82" s="10"/>
      <c r="C82" s="3"/>
      <c r="D82" s="131"/>
      <c r="E82" s="133"/>
      <c r="F82" s="133"/>
    </row>
    <row r="83" spans="1:6" s="8" customFormat="1" x14ac:dyDescent="0.25">
      <c r="A83" s="3"/>
      <c r="B83" s="10"/>
      <c r="C83" s="3"/>
      <c r="D83" s="131"/>
      <c r="E83" s="133"/>
      <c r="F83" s="133"/>
    </row>
    <row r="84" spans="1:6" s="8" customFormat="1" x14ac:dyDescent="0.25">
      <c r="A84" s="3"/>
      <c r="B84" s="10"/>
      <c r="C84" s="3"/>
      <c r="D84" s="131"/>
      <c r="E84" s="133"/>
      <c r="F84" s="133"/>
    </row>
    <row r="85" spans="1:6" s="8" customFormat="1" x14ac:dyDescent="0.25">
      <c r="A85" s="3"/>
      <c r="B85" s="10"/>
      <c r="C85" s="3"/>
      <c r="D85" s="131"/>
      <c r="E85" s="133"/>
      <c r="F85" s="133"/>
    </row>
    <row r="86" spans="1:6" s="8" customFormat="1" x14ac:dyDescent="0.25">
      <c r="A86" s="3"/>
      <c r="B86" s="10"/>
      <c r="C86" s="3"/>
      <c r="D86" s="131"/>
      <c r="E86" s="133"/>
      <c r="F86" s="133"/>
    </row>
    <row r="87" spans="1:6" s="8" customFormat="1" x14ac:dyDescent="0.25">
      <c r="A87" s="3"/>
      <c r="B87" s="10"/>
      <c r="C87" s="3"/>
      <c r="D87" s="131"/>
      <c r="E87" s="133"/>
      <c r="F87" s="133"/>
    </row>
    <row r="88" spans="1:6" s="8" customFormat="1" x14ac:dyDescent="0.25">
      <c r="A88" s="3"/>
      <c r="B88" s="10"/>
      <c r="C88" s="3"/>
      <c r="D88" s="131"/>
      <c r="E88" s="133"/>
      <c r="F88" s="133"/>
    </row>
    <row r="89" spans="1:6" s="8" customFormat="1" x14ac:dyDescent="0.25">
      <c r="A89" s="3"/>
      <c r="B89" s="10"/>
      <c r="C89" s="3"/>
      <c r="D89" s="131"/>
      <c r="E89" s="133"/>
      <c r="F89" s="133"/>
    </row>
    <row r="90" spans="1:6" s="8" customFormat="1" x14ac:dyDescent="0.25">
      <c r="A90" s="3"/>
      <c r="B90" s="10"/>
      <c r="C90" s="3"/>
      <c r="D90" s="131"/>
      <c r="E90" s="133"/>
      <c r="F90" s="133"/>
    </row>
    <row r="91" spans="1:6" s="8" customFormat="1" x14ac:dyDescent="0.25">
      <c r="A91" s="3"/>
      <c r="B91" s="10"/>
      <c r="C91" s="3"/>
      <c r="D91" s="131"/>
      <c r="E91" s="133"/>
      <c r="F91" s="133"/>
    </row>
    <row r="92" spans="1:6" s="8" customFormat="1" x14ac:dyDescent="0.25">
      <c r="A92" s="3"/>
      <c r="B92" s="10"/>
      <c r="C92" s="3"/>
      <c r="D92" s="131"/>
      <c r="E92" s="133"/>
      <c r="F92" s="133"/>
    </row>
    <row r="93" spans="1:6" s="8" customFormat="1" x14ac:dyDescent="0.25">
      <c r="A93" s="3"/>
      <c r="B93" s="10"/>
      <c r="C93" s="3"/>
      <c r="D93" s="131"/>
      <c r="E93" s="133"/>
      <c r="F93" s="133"/>
    </row>
    <row r="94" spans="1:6" s="8" customFormat="1" x14ac:dyDescent="0.25">
      <c r="A94" s="3"/>
      <c r="B94" s="10"/>
      <c r="C94" s="3"/>
      <c r="D94" s="131"/>
      <c r="E94" s="133"/>
      <c r="F94" s="133"/>
    </row>
    <row r="95" spans="1:6" s="8" customFormat="1" x14ac:dyDescent="0.25">
      <c r="A95" s="3"/>
      <c r="B95" s="10"/>
      <c r="C95" s="3"/>
      <c r="D95" s="131"/>
      <c r="E95" s="133"/>
      <c r="F95" s="133"/>
    </row>
    <row r="96" spans="1:6" s="8" customFormat="1" x14ac:dyDescent="0.25">
      <c r="A96" s="3"/>
      <c r="B96" s="10"/>
      <c r="C96" s="3"/>
      <c r="D96" s="131"/>
      <c r="E96" s="133"/>
      <c r="F96" s="133"/>
    </row>
    <row r="97" spans="1:6" s="8" customFormat="1" x14ac:dyDescent="0.25">
      <c r="A97" s="3"/>
      <c r="B97" s="10"/>
      <c r="C97" s="3"/>
      <c r="D97" s="131"/>
      <c r="E97" s="133"/>
      <c r="F97" s="133"/>
    </row>
    <row r="98" spans="1:6" s="8" customFormat="1" x14ac:dyDescent="0.25">
      <c r="A98" s="3"/>
      <c r="B98" s="10"/>
      <c r="C98" s="3"/>
      <c r="D98" s="131"/>
      <c r="E98" s="133"/>
      <c r="F98" s="133"/>
    </row>
    <row r="99" spans="1:6" s="8" customFormat="1" x14ac:dyDescent="0.25">
      <c r="A99" s="3"/>
      <c r="B99" s="10"/>
      <c r="C99" s="3"/>
      <c r="D99" s="131"/>
      <c r="E99" s="133"/>
      <c r="F99" s="133"/>
    </row>
    <row r="100" spans="1:6" s="8" customFormat="1" x14ac:dyDescent="0.25">
      <c r="A100" s="3"/>
      <c r="B100" s="10"/>
      <c r="C100" s="3"/>
      <c r="D100" s="131"/>
      <c r="E100" s="133"/>
      <c r="F100" s="133"/>
    </row>
    <row r="101" spans="1:6" s="8" customFormat="1" x14ac:dyDescent="0.25">
      <c r="A101" s="3"/>
      <c r="B101" s="10"/>
      <c r="C101" s="3"/>
      <c r="D101" s="131"/>
      <c r="E101" s="133"/>
      <c r="F101" s="133"/>
    </row>
    <row r="102" spans="1:6" s="8" customFormat="1" x14ac:dyDescent="0.25">
      <c r="A102" s="3"/>
      <c r="B102" s="10"/>
      <c r="C102" s="3"/>
      <c r="D102" s="131"/>
      <c r="E102" s="133"/>
      <c r="F102" s="133"/>
    </row>
    <row r="103" spans="1:6" s="8" customFormat="1" x14ac:dyDescent="0.25">
      <c r="A103" s="3"/>
      <c r="B103" s="10"/>
      <c r="C103" s="3"/>
      <c r="D103" s="131"/>
      <c r="E103" s="133"/>
      <c r="F103" s="133"/>
    </row>
    <row r="104" spans="1:6" s="8" customFormat="1" x14ac:dyDescent="0.25">
      <c r="A104" s="3"/>
      <c r="B104" s="10"/>
      <c r="C104" s="3"/>
      <c r="D104" s="131"/>
      <c r="E104" s="133"/>
      <c r="F104" s="133"/>
    </row>
    <row r="105" spans="1:6" s="8" customFormat="1" x14ac:dyDescent="0.25">
      <c r="A105" s="3"/>
      <c r="B105" s="10"/>
      <c r="C105" s="3"/>
      <c r="D105" s="131"/>
      <c r="E105" s="133"/>
      <c r="F105" s="133"/>
    </row>
    <row r="106" spans="1:6" s="8" customFormat="1" x14ac:dyDescent="0.25">
      <c r="A106" s="3"/>
      <c r="B106" s="10"/>
      <c r="C106" s="3"/>
      <c r="D106" s="131"/>
      <c r="E106" s="133"/>
      <c r="F106" s="133"/>
    </row>
    <row r="107" spans="1:6" s="8" customFormat="1" x14ac:dyDescent="0.25">
      <c r="A107" s="3"/>
      <c r="B107" s="10"/>
      <c r="C107" s="3"/>
      <c r="D107" s="131"/>
      <c r="E107" s="133"/>
      <c r="F107" s="133"/>
    </row>
    <row r="108" spans="1:6" s="8" customFormat="1" x14ac:dyDescent="0.25">
      <c r="A108" s="3"/>
      <c r="B108" s="10"/>
      <c r="C108" s="3"/>
      <c r="D108" s="131"/>
      <c r="E108" s="133"/>
      <c r="F108" s="133"/>
    </row>
    <row r="109" spans="1:6" s="8" customFormat="1" x14ac:dyDescent="0.25">
      <c r="A109" s="3"/>
      <c r="B109" s="10"/>
      <c r="C109" s="3"/>
      <c r="D109" s="131"/>
      <c r="E109" s="133"/>
      <c r="F109" s="133"/>
    </row>
    <row r="110" spans="1:6" s="8" customFormat="1" x14ac:dyDescent="0.25">
      <c r="A110" s="3"/>
      <c r="B110" s="10"/>
      <c r="C110" s="3"/>
      <c r="D110" s="131"/>
      <c r="E110" s="133"/>
      <c r="F110" s="133"/>
    </row>
    <row r="111" spans="1:6" s="8" customFormat="1" x14ac:dyDescent="0.25">
      <c r="A111" s="3"/>
      <c r="B111" s="10"/>
      <c r="C111" s="3"/>
      <c r="D111" s="131"/>
      <c r="E111" s="133"/>
      <c r="F111" s="133"/>
    </row>
    <row r="112" spans="1:6" s="8" customFormat="1" x14ac:dyDescent="0.25">
      <c r="A112" s="3"/>
      <c r="B112" s="10"/>
      <c r="C112" s="3"/>
      <c r="D112" s="131"/>
      <c r="E112" s="133"/>
      <c r="F112" s="133"/>
    </row>
    <row r="113" spans="1:6" s="8" customFormat="1" x14ac:dyDescent="0.25">
      <c r="A113" s="3"/>
      <c r="B113" s="10"/>
      <c r="C113" s="3"/>
      <c r="D113" s="131"/>
      <c r="E113" s="133"/>
      <c r="F113" s="133"/>
    </row>
    <row r="114" spans="1:6" s="8" customFormat="1" x14ac:dyDescent="0.25">
      <c r="A114" s="3"/>
      <c r="B114" s="10"/>
      <c r="C114" s="3"/>
      <c r="D114" s="131"/>
      <c r="E114" s="133"/>
      <c r="F114" s="133"/>
    </row>
    <row r="115" spans="1:6" s="8" customFormat="1" x14ac:dyDescent="0.25">
      <c r="A115" s="3"/>
      <c r="B115" s="10"/>
      <c r="C115" s="3"/>
      <c r="D115" s="131"/>
      <c r="E115" s="133"/>
      <c r="F115" s="133"/>
    </row>
    <row r="116" spans="1:6" s="8" customFormat="1" x14ac:dyDescent="0.25">
      <c r="A116" s="3"/>
      <c r="B116" s="10"/>
      <c r="C116" s="3"/>
      <c r="D116" s="131"/>
      <c r="E116" s="133"/>
      <c r="F116" s="133"/>
    </row>
    <row r="117" spans="1:6" s="8" customFormat="1" x14ac:dyDescent="0.25">
      <c r="A117" s="3"/>
      <c r="B117" s="10"/>
      <c r="C117" s="3"/>
      <c r="D117" s="131"/>
      <c r="E117" s="133"/>
      <c r="F117" s="133"/>
    </row>
    <row r="118" spans="1:6" s="8" customFormat="1" x14ac:dyDescent="0.25">
      <c r="A118" s="3"/>
      <c r="B118" s="10"/>
      <c r="C118" s="3"/>
      <c r="D118" s="131"/>
      <c r="E118" s="133"/>
      <c r="F118" s="133"/>
    </row>
    <row r="119" spans="1:6" s="8" customFormat="1" x14ac:dyDescent="0.25">
      <c r="A119" s="3"/>
      <c r="B119" s="10"/>
      <c r="C119" s="3"/>
      <c r="D119" s="131"/>
      <c r="E119" s="133"/>
      <c r="F119" s="133"/>
    </row>
    <row r="120" spans="1:6" s="8" customFormat="1" x14ac:dyDescent="0.25">
      <c r="A120" s="3"/>
      <c r="B120" s="10"/>
      <c r="C120" s="3"/>
      <c r="D120" s="131"/>
      <c r="E120" s="133"/>
      <c r="F120" s="133"/>
    </row>
    <row r="121" spans="1:6" s="8" customFormat="1" x14ac:dyDescent="0.25">
      <c r="A121" s="3"/>
      <c r="B121" s="10"/>
      <c r="C121" s="3"/>
      <c r="D121" s="131"/>
      <c r="E121" s="133"/>
      <c r="F121" s="133"/>
    </row>
    <row r="122" spans="1:6" s="8" customFormat="1" x14ac:dyDescent="0.25">
      <c r="A122" s="3"/>
      <c r="B122" s="10"/>
      <c r="C122" s="3"/>
      <c r="D122" s="131"/>
      <c r="E122" s="133"/>
      <c r="F122" s="133"/>
    </row>
    <row r="123" spans="1:6" s="8" customFormat="1" x14ac:dyDescent="0.25">
      <c r="A123" s="3"/>
      <c r="B123" s="10"/>
      <c r="C123" s="3"/>
      <c r="D123" s="131"/>
      <c r="E123" s="133"/>
      <c r="F123" s="133"/>
    </row>
    <row r="124" spans="1:6" s="8" customFormat="1" x14ac:dyDescent="0.25">
      <c r="A124" s="3"/>
      <c r="B124" s="10"/>
      <c r="C124" s="3"/>
      <c r="D124" s="131"/>
      <c r="E124" s="133"/>
      <c r="F124" s="133"/>
    </row>
    <row r="125" spans="1:6" s="8" customFormat="1" x14ac:dyDescent="0.25">
      <c r="A125" s="3"/>
      <c r="B125" s="10"/>
      <c r="C125" s="3"/>
      <c r="D125" s="131"/>
      <c r="E125" s="133"/>
      <c r="F125" s="133"/>
    </row>
    <row r="126" spans="1:6" s="8" customFormat="1" x14ac:dyDescent="0.25">
      <c r="A126" s="3"/>
      <c r="B126" s="10"/>
      <c r="C126" s="3"/>
      <c r="D126" s="131"/>
      <c r="E126" s="133"/>
      <c r="F126" s="133"/>
    </row>
    <row r="127" spans="1:6" s="8" customFormat="1" x14ac:dyDescent="0.25">
      <c r="A127" s="3"/>
      <c r="B127" s="10"/>
      <c r="C127" s="3"/>
      <c r="D127" s="131"/>
      <c r="E127" s="133"/>
      <c r="F127" s="133"/>
    </row>
    <row r="128" spans="1:6" s="8" customFormat="1" x14ac:dyDescent="0.25">
      <c r="A128" s="3"/>
      <c r="B128" s="10"/>
      <c r="C128" s="3"/>
      <c r="D128" s="131"/>
      <c r="E128" s="133"/>
      <c r="F128" s="133"/>
    </row>
    <row r="129" spans="1:6" s="8" customFormat="1" x14ac:dyDescent="0.25">
      <c r="A129" s="3"/>
      <c r="B129" s="10"/>
      <c r="C129" s="3"/>
      <c r="D129" s="131"/>
      <c r="E129" s="133"/>
      <c r="F129" s="133"/>
    </row>
    <row r="130" spans="1:6" s="8" customFormat="1" x14ac:dyDescent="0.25">
      <c r="A130" s="3"/>
      <c r="B130" s="10"/>
      <c r="C130" s="3"/>
      <c r="D130" s="131"/>
      <c r="E130" s="133"/>
      <c r="F130" s="133"/>
    </row>
    <row r="131" spans="1:6" s="8" customFormat="1" x14ac:dyDescent="0.25">
      <c r="A131" s="3"/>
      <c r="B131" s="10"/>
      <c r="C131" s="3"/>
      <c r="D131" s="131"/>
      <c r="E131" s="133"/>
      <c r="F131" s="133"/>
    </row>
    <row r="132" spans="1:6" s="8" customFormat="1" x14ac:dyDescent="0.25">
      <c r="A132" s="3"/>
      <c r="B132" s="10"/>
      <c r="C132" s="3"/>
      <c r="D132" s="131"/>
      <c r="E132" s="133"/>
      <c r="F132" s="133"/>
    </row>
    <row r="133" spans="1:6" s="8" customFormat="1" x14ac:dyDescent="0.25">
      <c r="A133" s="3"/>
      <c r="B133" s="10"/>
      <c r="C133" s="3"/>
      <c r="D133" s="131"/>
      <c r="E133" s="133"/>
      <c r="F133" s="133"/>
    </row>
    <row r="134" spans="1:6" s="8" customFormat="1" x14ac:dyDescent="0.25">
      <c r="A134" s="3"/>
      <c r="B134" s="10"/>
      <c r="C134" s="3"/>
      <c r="D134" s="131"/>
      <c r="E134" s="133"/>
      <c r="F134" s="133"/>
    </row>
    <row r="135" spans="1:6" s="8" customFormat="1" x14ac:dyDescent="0.25">
      <c r="A135" s="3"/>
      <c r="B135" s="10"/>
      <c r="C135" s="3"/>
      <c r="D135" s="131"/>
      <c r="E135" s="133"/>
      <c r="F135" s="133"/>
    </row>
    <row r="136" spans="1:6" s="8" customFormat="1" x14ac:dyDescent="0.25">
      <c r="A136" s="3"/>
      <c r="B136" s="10"/>
      <c r="C136" s="3"/>
      <c r="D136" s="131"/>
      <c r="E136" s="133"/>
      <c r="F136" s="133"/>
    </row>
    <row r="137" spans="1:6" s="8" customFormat="1" x14ac:dyDescent="0.25">
      <c r="A137" s="3"/>
      <c r="B137" s="10"/>
      <c r="C137" s="3"/>
      <c r="D137" s="131"/>
      <c r="E137" s="133"/>
      <c r="F137" s="133"/>
    </row>
    <row r="138" spans="1:6" s="8" customFormat="1" x14ac:dyDescent="0.25">
      <c r="A138" s="3"/>
      <c r="B138" s="10"/>
      <c r="C138" s="3"/>
      <c r="D138" s="131"/>
      <c r="E138" s="133"/>
      <c r="F138" s="133"/>
    </row>
    <row r="139" spans="1:6" s="8" customFormat="1" x14ac:dyDescent="0.25">
      <c r="A139" s="3"/>
      <c r="B139" s="10"/>
      <c r="C139" s="3"/>
      <c r="D139" s="131"/>
      <c r="E139" s="133"/>
      <c r="F139" s="133"/>
    </row>
    <row r="140" spans="1:6" s="8" customFormat="1" x14ac:dyDescent="0.25">
      <c r="A140" s="3"/>
      <c r="B140" s="10"/>
      <c r="C140" s="3"/>
      <c r="D140" s="131"/>
      <c r="E140" s="133"/>
      <c r="F140" s="133"/>
    </row>
    <row r="141" spans="1:6" s="8" customFormat="1" x14ac:dyDescent="0.25">
      <c r="A141" s="3"/>
      <c r="B141" s="10"/>
      <c r="C141" s="3"/>
      <c r="D141" s="131"/>
      <c r="E141" s="133"/>
      <c r="F141" s="133"/>
    </row>
    <row r="142" spans="1:6" s="8" customFormat="1" x14ac:dyDescent="0.25">
      <c r="A142" s="3"/>
      <c r="B142" s="10"/>
      <c r="C142" s="3"/>
      <c r="D142" s="131"/>
      <c r="E142" s="133"/>
      <c r="F142" s="133"/>
    </row>
    <row r="143" spans="1:6" s="8" customFormat="1" x14ac:dyDescent="0.25">
      <c r="A143" s="3"/>
      <c r="B143" s="10"/>
      <c r="C143" s="3"/>
      <c r="D143" s="131"/>
      <c r="E143" s="133"/>
      <c r="F143" s="133"/>
    </row>
    <row r="144" spans="1:6" s="8" customFormat="1" x14ac:dyDescent="0.25">
      <c r="A144" s="3"/>
      <c r="B144" s="10"/>
      <c r="C144" s="3"/>
      <c r="D144" s="131"/>
      <c r="E144" s="133"/>
      <c r="F144" s="133"/>
    </row>
    <row r="145" spans="1:6" s="8" customFormat="1" x14ac:dyDescent="0.25">
      <c r="A145" s="3"/>
      <c r="B145" s="10"/>
      <c r="C145" s="3"/>
      <c r="D145" s="131"/>
      <c r="E145" s="133"/>
      <c r="F145" s="133"/>
    </row>
    <row r="146" spans="1:6" s="8" customFormat="1" x14ac:dyDescent="0.25">
      <c r="A146" s="3"/>
      <c r="B146" s="10"/>
      <c r="C146" s="3"/>
      <c r="D146" s="131"/>
      <c r="E146" s="133"/>
      <c r="F146" s="133"/>
    </row>
    <row r="147" spans="1:6" s="8" customFormat="1" x14ac:dyDescent="0.25">
      <c r="A147" s="3"/>
      <c r="B147" s="10"/>
      <c r="C147" s="3"/>
      <c r="D147" s="131"/>
      <c r="E147" s="133"/>
      <c r="F147" s="133"/>
    </row>
    <row r="148" spans="1:6" s="8" customFormat="1" x14ac:dyDescent="0.25">
      <c r="A148" s="3"/>
      <c r="B148" s="10"/>
      <c r="C148" s="3"/>
      <c r="D148" s="131"/>
      <c r="E148" s="133"/>
      <c r="F148" s="133"/>
    </row>
    <row r="149" spans="1:6" s="8" customFormat="1" x14ac:dyDescent="0.25">
      <c r="A149" s="3"/>
      <c r="B149" s="10"/>
      <c r="C149" s="3"/>
      <c r="D149" s="131"/>
      <c r="E149" s="133"/>
      <c r="F149" s="133"/>
    </row>
    <row r="150" spans="1:6" s="8" customFormat="1" x14ac:dyDescent="0.25">
      <c r="A150" s="3"/>
      <c r="B150" s="10"/>
      <c r="C150" s="3"/>
      <c r="D150" s="131"/>
      <c r="E150" s="133"/>
      <c r="F150" s="133"/>
    </row>
    <row r="151" spans="1:6" s="8" customFormat="1" x14ac:dyDescent="0.25">
      <c r="A151" s="3"/>
      <c r="B151" s="10"/>
      <c r="C151" s="3"/>
      <c r="D151" s="131"/>
      <c r="E151" s="133"/>
      <c r="F151" s="133"/>
    </row>
    <row r="152" spans="1:6" s="8" customFormat="1" x14ac:dyDescent="0.25">
      <c r="A152" s="3"/>
      <c r="B152" s="10"/>
      <c r="C152" s="3"/>
      <c r="D152" s="131"/>
      <c r="E152" s="133"/>
      <c r="F152" s="133"/>
    </row>
    <row r="153" spans="1:6" s="8" customFormat="1" x14ac:dyDescent="0.25">
      <c r="A153" s="3"/>
      <c r="B153" s="10"/>
      <c r="C153" s="3"/>
      <c r="D153" s="131"/>
      <c r="E153" s="133"/>
      <c r="F153" s="133"/>
    </row>
    <row r="154" spans="1:6" s="8" customFormat="1" x14ac:dyDescent="0.25">
      <c r="A154" s="3"/>
      <c r="B154" s="10"/>
      <c r="C154" s="3"/>
      <c r="D154" s="131"/>
      <c r="E154" s="133"/>
      <c r="F154" s="133"/>
    </row>
    <row r="155" spans="1:6" s="8" customFormat="1" x14ac:dyDescent="0.25">
      <c r="A155" s="3"/>
      <c r="B155" s="10"/>
      <c r="C155" s="3"/>
      <c r="D155" s="131"/>
      <c r="E155" s="133"/>
      <c r="F155" s="133"/>
    </row>
    <row r="156" spans="1:6" s="8" customFormat="1" x14ac:dyDescent="0.25">
      <c r="A156" s="3"/>
      <c r="B156" s="10"/>
      <c r="C156" s="3"/>
      <c r="D156" s="131"/>
      <c r="E156" s="133"/>
      <c r="F156" s="133"/>
    </row>
    <row r="157" spans="1:6" s="8" customFormat="1" x14ac:dyDescent="0.25">
      <c r="A157" s="3"/>
      <c r="B157" s="10"/>
      <c r="C157" s="3"/>
      <c r="D157" s="131"/>
      <c r="E157" s="133"/>
      <c r="F157" s="133"/>
    </row>
    <row r="158" spans="1:6" s="8" customFormat="1" x14ac:dyDescent="0.25">
      <c r="A158" s="3"/>
      <c r="B158" s="10"/>
      <c r="C158" s="3"/>
      <c r="D158" s="131"/>
      <c r="E158" s="133"/>
      <c r="F158" s="133"/>
    </row>
    <row r="159" spans="1:6" s="8" customFormat="1" x14ac:dyDescent="0.25">
      <c r="A159" s="3"/>
      <c r="B159" s="10"/>
      <c r="C159" s="3"/>
      <c r="D159" s="131"/>
      <c r="E159" s="133"/>
      <c r="F159" s="133"/>
    </row>
    <row r="160" spans="1:6" s="8" customFormat="1" x14ac:dyDescent="0.25">
      <c r="A160" s="3"/>
      <c r="B160" s="10"/>
      <c r="C160" s="3"/>
      <c r="D160" s="131"/>
      <c r="E160" s="133"/>
      <c r="F160" s="133"/>
    </row>
    <row r="161" spans="1:6" s="8" customFormat="1" x14ac:dyDescent="0.25">
      <c r="A161" s="3"/>
      <c r="B161" s="10"/>
      <c r="C161" s="3"/>
      <c r="D161" s="131"/>
      <c r="E161" s="133"/>
      <c r="F161" s="133"/>
    </row>
    <row r="162" spans="1:6" s="8" customFormat="1" x14ac:dyDescent="0.25">
      <c r="A162" s="3"/>
      <c r="B162" s="10"/>
      <c r="C162" s="3"/>
      <c r="D162" s="131"/>
      <c r="E162" s="133"/>
      <c r="F162" s="133"/>
    </row>
    <row r="163" spans="1:6" s="8" customFormat="1" x14ac:dyDescent="0.25">
      <c r="A163" s="3"/>
      <c r="B163" s="10"/>
      <c r="C163" s="3"/>
      <c r="D163" s="131"/>
      <c r="E163" s="133"/>
      <c r="F163" s="133"/>
    </row>
    <row r="164" spans="1:6" s="8" customFormat="1" x14ac:dyDescent="0.25">
      <c r="A164" s="3"/>
      <c r="B164" s="10"/>
      <c r="C164" s="3"/>
      <c r="D164" s="131"/>
      <c r="E164" s="133"/>
      <c r="F164" s="133"/>
    </row>
    <row r="165" spans="1:6" s="8" customFormat="1" x14ac:dyDescent="0.25">
      <c r="A165" s="3"/>
      <c r="B165" s="10"/>
      <c r="C165" s="3"/>
      <c r="D165" s="131"/>
      <c r="E165" s="133"/>
      <c r="F165" s="133"/>
    </row>
    <row r="166" spans="1:6" s="8" customFormat="1" x14ac:dyDescent="0.25">
      <c r="A166" s="3"/>
      <c r="B166" s="10"/>
      <c r="C166" s="3"/>
      <c r="D166" s="131"/>
      <c r="E166" s="133"/>
      <c r="F166" s="133"/>
    </row>
    <row r="167" spans="1:6" s="8" customFormat="1" x14ac:dyDescent="0.25">
      <c r="A167" s="3"/>
      <c r="B167" s="10"/>
      <c r="C167" s="3"/>
      <c r="D167" s="131"/>
      <c r="E167" s="133"/>
      <c r="F167" s="133"/>
    </row>
    <row r="168" spans="1:6" s="8" customFormat="1" x14ac:dyDescent="0.25">
      <c r="A168" s="3"/>
      <c r="B168" s="10"/>
      <c r="C168" s="3"/>
      <c r="D168" s="131"/>
      <c r="E168" s="133"/>
      <c r="F168" s="133"/>
    </row>
    <row r="169" spans="1:6" s="8" customFormat="1" x14ac:dyDescent="0.25">
      <c r="A169" s="3"/>
      <c r="B169" s="10"/>
      <c r="C169" s="3"/>
      <c r="D169" s="131"/>
      <c r="E169" s="133"/>
      <c r="F169" s="133"/>
    </row>
    <row r="170" spans="1:6" s="8" customFormat="1" x14ac:dyDescent="0.25">
      <c r="A170" s="3"/>
      <c r="B170" s="10"/>
      <c r="C170" s="3"/>
      <c r="D170" s="131"/>
      <c r="E170" s="133"/>
      <c r="F170" s="133"/>
    </row>
    <row r="171" spans="1:6" s="8" customFormat="1" x14ac:dyDescent="0.25">
      <c r="A171" s="3"/>
      <c r="B171" s="10"/>
      <c r="C171" s="3"/>
      <c r="D171" s="131"/>
      <c r="E171" s="133"/>
      <c r="F171" s="133"/>
    </row>
    <row r="172" spans="1:6" s="8" customFormat="1" x14ac:dyDescent="0.25">
      <c r="A172" s="3"/>
      <c r="B172" s="10"/>
      <c r="C172" s="3"/>
      <c r="D172" s="131"/>
      <c r="E172" s="133"/>
      <c r="F172" s="133"/>
    </row>
    <row r="173" spans="1:6" s="8" customFormat="1" x14ac:dyDescent="0.25">
      <c r="A173" s="3"/>
      <c r="B173" s="10"/>
      <c r="C173" s="3"/>
      <c r="D173" s="131"/>
      <c r="E173" s="133"/>
      <c r="F173" s="133"/>
    </row>
    <row r="174" spans="1:6" s="8" customFormat="1" x14ac:dyDescent="0.25">
      <c r="A174" s="3"/>
      <c r="B174" s="10"/>
      <c r="C174" s="3"/>
      <c r="D174" s="131"/>
      <c r="E174" s="133"/>
      <c r="F174" s="133"/>
    </row>
    <row r="175" spans="1:6" s="8" customFormat="1" x14ac:dyDescent="0.25">
      <c r="A175" s="3"/>
      <c r="B175" s="10"/>
      <c r="C175" s="3"/>
      <c r="D175" s="131"/>
      <c r="E175" s="133"/>
      <c r="F175" s="133"/>
    </row>
    <row r="176" spans="1:6" s="8" customFormat="1" x14ac:dyDescent="0.25">
      <c r="A176" s="3"/>
      <c r="B176" s="10"/>
      <c r="C176" s="3"/>
      <c r="D176" s="131"/>
      <c r="E176" s="133"/>
      <c r="F176" s="133"/>
    </row>
    <row r="177" spans="1:6" s="8" customFormat="1" x14ac:dyDescent="0.25">
      <c r="A177" s="3"/>
      <c r="B177" s="10"/>
      <c r="C177" s="3"/>
      <c r="D177" s="131"/>
      <c r="E177" s="133"/>
      <c r="F177" s="133"/>
    </row>
    <row r="178" spans="1:6" s="8" customFormat="1" x14ac:dyDescent="0.25">
      <c r="A178" s="3"/>
      <c r="B178" s="10"/>
      <c r="C178" s="3"/>
      <c r="D178" s="131"/>
      <c r="E178" s="133"/>
      <c r="F178" s="133"/>
    </row>
    <row r="179" spans="1:6" s="8" customFormat="1" x14ac:dyDescent="0.25">
      <c r="A179" s="3"/>
      <c r="B179" s="10"/>
      <c r="C179" s="3"/>
      <c r="D179" s="131"/>
      <c r="E179" s="133"/>
      <c r="F179" s="133"/>
    </row>
    <row r="180" spans="1:6" s="8" customFormat="1" x14ac:dyDescent="0.25">
      <c r="A180" s="3"/>
      <c r="B180" s="10"/>
      <c r="C180" s="3"/>
      <c r="D180" s="131"/>
      <c r="E180" s="133"/>
      <c r="F180" s="133"/>
    </row>
    <row r="181" spans="1:6" s="8" customFormat="1" x14ac:dyDescent="0.25">
      <c r="A181" s="3"/>
      <c r="B181" s="10"/>
      <c r="C181" s="3"/>
      <c r="D181" s="131"/>
      <c r="E181" s="133"/>
      <c r="F181" s="133"/>
    </row>
    <row r="182" spans="1:6" s="8" customFormat="1" x14ac:dyDescent="0.25">
      <c r="A182" s="3"/>
      <c r="B182" s="10"/>
      <c r="C182" s="3"/>
      <c r="D182" s="131"/>
      <c r="E182" s="133"/>
      <c r="F182" s="133"/>
    </row>
    <row r="183" spans="1:6" s="8" customFormat="1" x14ac:dyDescent="0.25">
      <c r="A183" s="3"/>
      <c r="B183" s="10"/>
      <c r="C183" s="3"/>
      <c r="D183" s="131"/>
      <c r="E183" s="133"/>
      <c r="F183" s="133"/>
    </row>
    <row r="184" spans="1:6" s="8" customFormat="1" x14ac:dyDescent="0.25">
      <c r="A184" s="3"/>
      <c r="B184" s="10"/>
      <c r="C184" s="3"/>
      <c r="D184" s="131"/>
      <c r="E184" s="133"/>
      <c r="F184" s="133"/>
    </row>
    <row r="185" spans="1:6" s="8" customFormat="1" x14ac:dyDescent="0.25">
      <c r="A185" s="3"/>
      <c r="B185" s="10"/>
      <c r="C185" s="3"/>
      <c r="D185" s="131"/>
      <c r="E185" s="133"/>
      <c r="F185" s="133"/>
    </row>
    <row r="186" spans="1:6" s="8" customFormat="1" x14ac:dyDescent="0.25">
      <c r="A186" s="3"/>
      <c r="B186" s="10"/>
      <c r="C186" s="3"/>
      <c r="D186" s="131"/>
      <c r="E186" s="133"/>
      <c r="F186" s="133"/>
    </row>
    <row r="187" spans="1:6" s="8" customFormat="1" x14ac:dyDescent="0.25">
      <c r="A187" s="3"/>
      <c r="B187" s="10"/>
      <c r="C187" s="3"/>
      <c r="D187" s="131"/>
      <c r="E187" s="133"/>
      <c r="F187" s="133"/>
    </row>
    <row r="188" spans="1:6" s="8" customFormat="1" x14ac:dyDescent="0.25">
      <c r="A188" s="3"/>
      <c r="B188" s="10"/>
      <c r="C188" s="3"/>
      <c r="D188" s="131"/>
      <c r="E188" s="133"/>
      <c r="F188" s="133"/>
    </row>
    <row r="189" spans="1:6" s="8" customFormat="1" x14ac:dyDescent="0.25">
      <c r="A189" s="3"/>
      <c r="B189" s="10"/>
      <c r="C189" s="3"/>
      <c r="D189" s="131"/>
      <c r="E189" s="133"/>
      <c r="F189" s="133"/>
    </row>
    <row r="190" spans="1:6" s="8" customFormat="1" x14ac:dyDescent="0.25">
      <c r="A190" s="3"/>
      <c r="B190" s="10"/>
      <c r="C190" s="3"/>
      <c r="D190" s="131"/>
      <c r="E190" s="133"/>
      <c r="F190" s="133"/>
    </row>
    <row r="191" spans="1:6" s="8" customFormat="1" x14ac:dyDescent="0.25">
      <c r="A191" s="3"/>
      <c r="B191" s="10"/>
      <c r="C191" s="3"/>
      <c r="D191" s="131"/>
      <c r="E191" s="133"/>
      <c r="F191" s="133"/>
    </row>
    <row r="192" spans="1:6" s="8" customFormat="1" x14ac:dyDescent="0.25">
      <c r="A192" s="3"/>
      <c r="B192" s="10"/>
      <c r="C192" s="3"/>
      <c r="D192" s="131"/>
      <c r="E192" s="133"/>
      <c r="F192" s="133"/>
    </row>
    <row r="193" spans="1:6" s="8" customFormat="1" x14ac:dyDescent="0.25">
      <c r="A193" s="3"/>
      <c r="B193" s="10"/>
      <c r="C193" s="3"/>
      <c r="D193" s="131"/>
      <c r="E193" s="133"/>
      <c r="F193" s="133"/>
    </row>
    <row r="194" spans="1:6" s="8" customFormat="1" x14ac:dyDescent="0.25">
      <c r="A194" s="3"/>
      <c r="B194" s="10"/>
      <c r="C194" s="3"/>
      <c r="D194" s="131"/>
      <c r="E194" s="133"/>
      <c r="F194" s="133"/>
    </row>
    <row r="195" spans="1:6" s="8" customFormat="1" x14ac:dyDescent="0.25">
      <c r="A195" s="3"/>
      <c r="B195" s="10"/>
      <c r="C195" s="3"/>
      <c r="D195" s="131"/>
      <c r="E195" s="133"/>
      <c r="F195" s="133"/>
    </row>
    <row r="196" spans="1:6" s="8" customFormat="1" x14ac:dyDescent="0.25">
      <c r="A196" s="3"/>
      <c r="B196" s="10"/>
      <c r="C196" s="3"/>
      <c r="D196" s="131"/>
      <c r="E196" s="133"/>
      <c r="F196" s="133"/>
    </row>
    <row r="197" spans="1:6" s="8" customFormat="1" x14ac:dyDescent="0.25">
      <c r="A197" s="3"/>
      <c r="B197" s="10"/>
      <c r="C197" s="3"/>
      <c r="D197" s="131"/>
      <c r="E197" s="133"/>
      <c r="F197" s="133"/>
    </row>
    <row r="198" spans="1:6" s="8" customFormat="1" x14ac:dyDescent="0.25">
      <c r="A198" s="3"/>
      <c r="B198" s="10"/>
      <c r="C198" s="3"/>
      <c r="D198" s="131"/>
      <c r="E198" s="133"/>
      <c r="F198" s="133"/>
    </row>
    <row r="199" spans="1:6" s="8" customFormat="1" x14ac:dyDescent="0.25">
      <c r="A199" s="3"/>
      <c r="B199" s="10"/>
      <c r="C199" s="3"/>
      <c r="D199" s="131"/>
      <c r="E199" s="133"/>
      <c r="F199" s="133"/>
    </row>
    <row r="200" spans="1:6" s="8" customFormat="1" x14ac:dyDescent="0.25">
      <c r="A200" s="3"/>
      <c r="B200" s="10"/>
      <c r="C200" s="3"/>
      <c r="D200" s="131"/>
      <c r="E200" s="133"/>
      <c r="F200" s="133"/>
    </row>
    <row r="201" spans="1:6" s="8" customFormat="1" x14ac:dyDescent="0.25">
      <c r="A201" s="3"/>
      <c r="B201" s="10"/>
      <c r="C201" s="3"/>
      <c r="D201" s="131"/>
      <c r="E201" s="133"/>
      <c r="F201" s="133"/>
    </row>
    <row r="202" spans="1:6" s="8" customFormat="1" x14ac:dyDescent="0.25">
      <c r="A202" s="3"/>
      <c r="B202" s="10"/>
      <c r="C202" s="3"/>
      <c r="D202" s="131"/>
      <c r="E202" s="133"/>
      <c r="F202" s="133"/>
    </row>
    <row r="203" spans="1:6" s="8" customFormat="1" x14ac:dyDescent="0.25">
      <c r="A203" s="3"/>
      <c r="B203" s="10"/>
      <c r="C203" s="3"/>
      <c r="D203" s="131"/>
      <c r="E203" s="133"/>
      <c r="F203" s="133"/>
    </row>
    <row r="204" spans="1:6" s="8" customFormat="1" x14ac:dyDescent="0.25">
      <c r="A204" s="3"/>
      <c r="B204" s="10"/>
      <c r="C204" s="3"/>
      <c r="D204" s="131"/>
      <c r="E204" s="133"/>
      <c r="F204" s="133"/>
    </row>
    <row r="205" spans="1:6" s="8" customFormat="1" x14ac:dyDescent="0.25">
      <c r="A205" s="3"/>
      <c r="B205" s="10"/>
      <c r="C205" s="3"/>
      <c r="D205" s="131"/>
      <c r="E205" s="133"/>
      <c r="F205" s="133"/>
    </row>
    <row r="206" spans="1:6" s="8" customFormat="1" x14ac:dyDescent="0.25">
      <c r="A206" s="3"/>
      <c r="B206" s="10"/>
      <c r="C206" s="3"/>
      <c r="D206" s="131"/>
      <c r="E206" s="133"/>
      <c r="F206" s="133"/>
    </row>
    <row r="207" spans="1:6" s="8" customFormat="1" x14ac:dyDescent="0.25">
      <c r="A207" s="3"/>
      <c r="B207" s="10"/>
      <c r="C207" s="3"/>
      <c r="D207" s="131"/>
      <c r="E207" s="133"/>
      <c r="F207" s="133"/>
    </row>
    <row r="208" spans="1:6" s="8" customFormat="1" x14ac:dyDescent="0.25">
      <c r="A208" s="3"/>
      <c r="B208" s="10"/>
      <c r="C208" s="3"/>
      <c r="D208" s="131"/>
      <c r="E208" s="133"/>
      <c r="F208" s="133"/>
    </row>
    <row r="209" spans="1:6" s="8" customFormat="1" x14ac:dyDescent="0.25">
      <c r="A209" s="3"/>
      <c r="B209" s="10"/>
      <c r="C209" s="3"/>
      <c r="D209" s="131"/>
      <c r="E209" s="133"/>
      <c r="F209" s="133"/>
    </row>
    <row r="210" spans="1:6" s="8" customFormat="1" x14ac:dyDescent="0.25">
      <c r="A210" s="3"/>
      <c r="B210" s="10"/>
      <c r="C210" s="3"/>
      <c r="D210" s="131"/>
      <c r="E210" s="133"/>
      <c r="F210" s="133"/>
    </row>
    <row r="211" spans="1:6" s="8" customFormat="1" x14ac:dyDescent="0.25">
      <c r="A211" s="3"/>
      <c r="B211" s="10"/>
      <c r="C211" s="3"/>
      <c r="D211" s="131"/>
      <c r="E211" s="133"/>
      <c r="F211" s="133"/>
    </row>
    <row r="212" spans="1:6" s="8" customFormat="1" x14ac:dyDescent="0.25">
      <c r="A212" s="3"/>
      <c r="B212" s="10"/>
      <c r="C212" s="3"/>
      <c r="D212" s="131"/>
      <c r="E212" s="133"/>
      <c r="F212" s="133"/>
    </row>
    <row r="213" spans="1:6" s="8" customFormat="1" x14ac:dyDescent="0.25">
      <c r="A213" s="3"/>
      <c r="B213" s="10"/>
      <c r="C213" s="3"/>
      <c r="D213" s="131"/>
      <c r="E213" s="133"/>
      <c r="F213" s="133"/>
    </row>
    <row r="214" spans="1:6" s="8" customFormat="1" x14ac:dyDescent="0.25">
      <c r="A214" s="3"/>
      <c r="B214" s="10"/>
      <c r="C214" s="3"/>
      <c r="D214" s="131"/>
      <c r="E214" s="133"/>
      <c r="F214" s="133"/>
    </row>
    <row r="215" spans="1:6" s="8" customFormat="1" x14ac:dyDescent="0.25">
      <c r="A215" s="3"/>
      <c r="B215" s="10"/>
      <c r="C215" s="3"/>
      <c r="D215" s="131"/>
      <c r="E215" s="133"/>
      <c r="F215" s="133"/>
    </row>
    <row r="216" spans="1:6" s="8" customFormat="1" x14ac:dyDescent="0.25">
      <c r="A216" s="3"/>
      <c r="B216" s="10"/>
      <c r="C216" s="3"/>
      <c r="D216" s="131"/>
      <c r="E216" s="133"/>
      <c r="F216" s="133"/>
    </row>
    <row r="217" spans="1:6" s="8" customFormat="1" x14ac:dyDescent="0.25">
      <c r="A217" s="3"/>
      <c r="B217" s="10"/>
      <c r="C217" s="3"/>
      <c r="D217" s="131"/>
      <c r="E217" s="133"/>
      <c r="F217" s="133"/>
    </row>
    <row r="218" spans="1:6" s="8" customFormat="1" x14ac:dyDescent="0.25">
      <c r="A218" s="3"/>
      <c r="B218" s="10"/>
      <c r="C218" s="3"/>
      <c r="D218" s="131"/>
      <c r="E218" s="133"/>
      <c r="F218" s="133"/>
    </row>
    <row r="219" spans="1:6" s="8" customFormat="1" x14ac:dyDescent="0.25">
      <c r="A219" s="3"/>
      <c r="B219" s="10"/>
      <c r="C219" s="3"/>
      <c r="D219" s="131"/>
      <c r="E219" s="133"/>
      <c r="F219" s="133"/>
    </row>
    <row r="220" spans="1:6" s="8" customFormat="1" x14ac:dyDescent="0.25">
      <c r="A220" s="3"/>
      <c r="B220" s="10"/>
      <c r="C220" s="3"/>
      <c r="D220" s="131"/>
      <c r="E220" s="133"/>
      <c r="F220" s="133"/>
    </row>
    <row r="221" spans="1:6" s="8" customFormat="1" x14ac:dyDescent="0.25">
      <c r="A221" s="3"/>
      <c r="B221" s="10"/>
      <c r="C221" s="3"/>
      <c r="D221" s="131"/>
      <c r="E221" s="133"/>
      <c r="F221" s="133"/>
    </row>
    <row r="222" spans="1:6" s="8" customFormat="1" x14ac:dyDescent="0.25">
      <c r="A222" s="3"/>
      <c r="B222" s="10"/>
      <c r="C222" s="3"/>
      <c r="D222" s="131"/>
      <c r="E222" s="133"/>
      <c r="F222" s="133"/>
    </row>
    <row r="223" spans="1:6" s="8" customFormat="1" x14ac:dyDescent="0.25">
      <c r="A223" s="3"/>
      <c r="B223" s="10"/>
      <c r="C223" s="3"/>
      <c r="D223" s="131"/>
      <c r="E223" s="133"/>
      <c r="F223" s="133"/>
    </row>
  </sheetData>
  <sheetProtection algorithmName="SHA-512" hashValue="mmu8MTF3T6uTaxI795DTcb83RtCwHOFdd5QNZdBCjoOInCxYIF7N5rerwvuXdLR1p9BJfFJTRS+R0zZu+zPHdQ==" saltValue="DmBAmKidLuwHTBVM+gux9A==" spinCount="100000" sheet="1" objects="1" scenarios="1" selectLockedCells="1"/>
  <mergeCells count="1">
    <mergeCell ref="A1:F2"/>
  </mergeCells>
  <pageMargins left="3.6614173228346458" right="0.70866141732283472" top="0.74803149606299213" bottom="0.74803149606299213" header="0.31496062992125984" footer="0.31496062992125984"/>
  <pageSetup paperSize="8" orientation="landscape"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25"/>
  <sheetViews>
    <sheetView showGridLines="0" zoomScaleNormal="100" workbookViewId="0">
      <selection activeCell="D4" sqref="D4"/>
    </sheetView>
  </sheetViews>
  <sheetFormatPr defaultColWidth="8.85546875" defaultRowHeight="11.25" x14ac:dyDescent="0.25"/>
  <cols>
    <col min="1" max="1" width="6.7109375" style="22" customWidth="1"/>
    <col min="2" max="2" width="81" style="22" customWidth="1"/>
    <col min="3" max="3" width="9.28515625" style="22" customWidth="1"/>
    <col min="4" max="4" width="11.7109375" style="130" customWidth="1"/>
    <col min="5" max="5" width="13.7109375" style="13" customWidth="1"/>
    <col min="6" max="6" width="14.7109375" style="13" customWidth="1"/>
    <col min="7" max="16384" width="8.85546875" style="22"/>
  </cols>
  <sheetData>
    <row r="1" spans="1:6" ht="12" customHeight="1" x14ac:dyDescent="0.25">
      <c r="A1" s="282" t="s">
        <v>1517</v>
      </c>
      <c r="B1" s="282"/>
      <c r="C1" s="282"/>
      <c r="D1" s="282"/>
      <c r="E1" s="282"/>
      <c r="F1" s="282"/>
    </row>
    <row r="2" spans="1:6" ht="12" customHeight="1" x14ac:dyDescent="0.25">
      <c r="A2" s="282"/>
      <c r="B2" s="282"/>
      <c r="C2" s="282"/>
      <c r="D2" s="282"/>
      <c r="E2" s="282"/>
      <c r="F2" s="282"/>
    </row>
    <row r="3" spans="1:6" x14ac:dyDescent="0.25">
      <c r="A3" s="21" t="s">
        <v>1119</v>
      </c>
      <c r="B3" s="5" t="s">
        <v>1405</v>
      </c>
      <c r="C3" s="1" t="s">
        <v>1132</v>
      </c>
      <c r="D3" s="184" t="s">
        <v>1587</v>
      </c>
      <c r="E3" s="126" t="s">
        <v>1592</v>
      </c>
      <c r="F3" s="126" t="s">
        <v>1322</v>
      </c>
    </row>
    <row r="4" spans="1:6" x14ac:dyDescent="0.25">
      <c r="A4" s="21">
        <v>1</v>
      </c>
      <c r="B4" s="94" t="s">
        <v>1406</v>
      </c>
      <c r="C4" s="94">
        <v>835</v>
      </c>
      <c r="D4" s="174"/>
      <c r="E4" s="236">
        <f>Exames_Dados[[#This Row],[VALOR UNIT]]*Exames_Dados[[#This Row],[QUANT]]</f>
        <v>0</v>
      </c>
      <c r="F4" s="236">
        <f>Exames_Valores[[#This Row],[VALOR MÊS ]]*12</f>
        <v>0</v>
      </c>
    </row>
    <row r="5" spans="1:6" x14ac:dyDescent="0.25">
      <c r="A5" s="21">
        <v>2</v>
      </c>
      <c r="B5" s="94" t="s">
        <v>1407</v>
      </c>
      <c r="C5" s="94">
        <v>15</v>
      </c>
      <c r="D5" s="174"/>
      <c r="E5" s="13">
        <f>Exames_Dados[[#This Row],[VALOR UNIT]]*Exames_Dados[[#This Row],[QUANT]]</f>
        <v>0</v>
      </c>
      <c r="F5" s="13">
        <f>Exames_Valores[[#This Row],[VALOR MÊS ]]*12</f>
        <v>0</v>
      </c>
    </row>
    <row r="6" spans="1:6" x14ac:dyDescent="0.25">
      <c r="A6" s="21">
        <v>3</v>
      </c>
      <c r="B6" s="94" t="s">
        <v>1408</v>
      </c>
      <c r="C6" s="94">
        <v>835</v>
      </c>
      <c r="D6" s="174"/>
      <c r="E6" s="236">
        <f>Exames_Dados[[#This Row],[VALOR UNIT]]*Exames_Dados[[#This Row],[QUANT]]</f>
        <v>0</v>
      </c>
      <c r="F6" s="236">
        <f>Exames_Valores[[#This Row],[VALOR MÊS ]]*12</f>
        <v>0</v>
      </c>
    </row>
    <row r="7" spans="1:6" x14ac:dyDescent="0.25">
      <c r="A7" s="21">
        <v>4</v>
      </c>
      <c r="B7" s="94" t="s">
        <v>1409</v>
      </c>
      <c r="C7" s="94">
        <v>15</v>
      </c>
      <c r="D7" s="174"/>
      <c r="E7" s="13">
        <f>Exames_Dados[[#This Row],[VALOR UNIT]]*Exames_Dados[[#This Row],[QUANT]]</f>
        <v>0</v>
      </c>
      <c r="F7" s="13">
        <f>Exames_Valores[[#This Row],[VALOR MÊS ]]*12</f>
        <v>0</v>
      </c>
    </row>
    <row r="8" spans="1:6" x14ac:dyDescent="0.25">
      <c r="A8" s="21">
        <v>5</v>
      </c>
      <c r="B8" s="94" t="s">
        <v>1410</v>
      </c>
      <c r="C8" s="94">
        <v>15</v>
      </c>
      <c r="D8" s="174"/>
      <c r="E8" s="236">
        <f>Exames_Dados[[#This Row],[VALOR UNIT]]*Exames_Dados[[#This Row],[QUANT]]</f>
        <v>0</v>
      </c>
      <c r="F8" s="236">
        <f>Exames_Valores[[#This Row],[VALOR MÊS ]]*12</f>
        <v>0</v>
      </c>
    </row>
    <row r="9" spans="1:6" x14ac:dyDescent="0.25">
      <c r="A9" s="21">
        <v>6</v>
      </c>
      <c r="B9" s="94" t="s">
        <v>1520</v>
      </c>
      <c r="C9" s="94">
        <v>92</v>
      </c>
      <c r="D9" s="174"/>
      <c r="E9" s="13">
        <f>Exames_Dados[[#This Row],[VALOR UNIT]]*Exames_Dados[[#This Row],[QUANT]]</f>
        <v>0</v>
      </c>
      <c r="F9" s="13">
        <f>Exames_Valores[[#This Row],[VALOR MÊS ]]*12</f>
        <v>0</v>
      </c>
    </row>
    <row r="10" spans="1:6" x14ac:dyDescent="0.25">
      <c r="A10" s="21">
        <v>7</v>
      </c>
      <c r="B10" s="94" t="s">
        <v>1411</v>
      </c>
      <c r="C10" s="94">
        <v>2</v>
      </c>
      <c r="D10" s="174"/>
      <c r="E10" s="236">
        <f>Exames_Dados[[#This Row],[VALOR UNIT]]*Exames_Dados[[#This Row],[QUANT]]</f>
        <v>0</v>
      </c>
      <c r="F10" s="236">
        <f>Exames_Valores[[#This Row],[VALOR MÊS ]]*12</f>
        <v>0</v>
      </c>
    </row>
    <row r="11" spans="1:6" x14ac:dyDescent="0.25">
      <c r="A11" s="21">
        <v>8</v>
      </c>
      <c r="B11" s="94" t="s">
        <v>1412</v>
      </c>
      <c r="C11" s="94">
        <v>2</v>
      </c>
      <c r="D11" s="174"/>
      <c r="E11" s="13">
        <f>Exames_Dados[[#This Row],[VALOR UNIT]]*Exames_Dados[[#This Row],[QUANT]]</f>
        <v>0</v>
      </c>
      <c r="F11" s="13">
        <f>Exames_Valores[[#This Row],[VALOR MÊS ]]*12</f>
        <v>0</v>
      </c>
    </row>
    <row r="12" spans="1:6" x14ac:dyDescent="0.25">
      <c r="A12" s="21">
        <v>9</v>
      </c>
      <c r="B12" s="94" t="s">
        <v>1413</v>
      </c>
      <c r="C12" s="94">
        <v>15</v>
      </c>
      <c r="D12" s="174"/>
      <c r="E12" s="236">
        <f>Exames_Dados[[#This Row],[VALOR UNIT]]*Exames_Dados[[#This Row],[QUANT]]</f>
        <v>0</v>
      </c>
      <c r="F12" s="236">
        <f>Exames_Valores[[#This Row],[VALOR MÊS ]]*12</f>
        <v>0</v>
      </c>
    </row>
    <row r="13" spans="1:6" x14ac:dyDescent="0.25">
      <c r="A13" s="21">
        <v>10</v>
      </c>
      <c r="B13" s="94" t="s">
        <v>1414</v>
      </c>
      <c r="C13" s="94">
        <v>835</v>
      </c>
      <c r="D13" s="174"/>
      <c r="E13" s="13">
        <f>Exames_Dados[[#This Row],[VALOR UNIT]]*Exames_Dados[[#This Row],[QUANT]]</f>
        <v>0</v>
      </c>
      <c r="F13" s="13">
        <f>Exames_Valores[[#This Row],[VALOR MÊS ]]*12</f>
        <v>0</v>
      </c>
    </row>
    <row r="14" spans="1:6" x14ac:dyDescent="0.25">
      <c r="A14" s="21">
        <v>11</v>
      </c>
      <c r="B14" s="94" t="s">
        <v>1415</v>
      </c>
      <c r="C14" s="94">
        <v>15</v>
      </c>
      <c r="D14" s="174"/>
      <c r="E14" s="236">
        <f>Exames_Dados[[#This Row],[VALOR UNIT]]*Exames_Dados[[#This Row],[QUANT]]</f>
        <v>0</v>
      </c>
      <c r="F14" s="236">
        <f>Exames_Valores[[#This Row],[VALOR MÊS ]]*12</f>
        <v>0</v>
      </c>
    </row>
    <row r="15" spans="1:6" x14ac:dyDescent="0.25">
      <c r="A15" s="21">
        <v>12</v>
      </c>
      <c r="B15" s="94" t="s">
        <v>1416</v>
      </c>
      <c r="C15" s="94">
        <v>92</v>
      </c>
      <c r="D15" s="174"/>
      <c r="E15" s="13">
        <f>Exames_Dados[[#This Row],[VALOR UNIT]]*Exames_Dados[[#This Row],[QUANT]]</f>
        <v>0</v>
      </c>
      <c r="F15" s="13">
        <f>Exames_Valores[[#This Row],[VALOR MÊS ]]*12</f>
        <v>0</v>
      </c>
    </row>
    <row r="16" spans="1:6" x14ac:dyDescent="0.25">
      <c r="A16" s="21">
        <v>13</v>
      </c>
      <c r="B16" s="94" t="s">
        <v>1417</v>
      </c>
      <c r="C16" s="94">
        <v>15</v>
      </c>
      <c r="D16" s="174"/>
      <c r="E16" s="236">
        <f>Exames_Dados[[#This Row],[VALOR UNIT]]*Exames_Dados[[#This Row],[QUANT]]</f>
        <v>0</v>
      </c>
      <c r="F16" s="236">
        <f>Exames_Valores[[#This Row],[VALOR MÊS ]]*12</f>
        <v>0</v>
      </c>
    </row>
    <row r="17" spans="1:6" x14ac:dyDescent="0.25">
      <c r="A17" s="21">
        <v>14</v>
      </c>
      <c r="B17" s="94" t="s">
        <v>1418</v>
      </c>
      <c r="C17" s="94">
        <v>15</v>
      </c>
      <c r="D17" s="174"/>
      <c r="E17" s="13">
        <f>Exames_Dados[[#This Row],[VALOR UNIT]]*Exames_Dados[[#This Row],[QUANT]]</f>
        <v>0</v>
      </c>
      <c r="F17" s="13">
        <f>Exames_Valores[[#This Row],[VALOR MÊS ]]*12</f>
        <v>0</v>
      </c>
    </row>
    <row r="18" spans="1:6" x14ac:dyDescent="0.25">
      <c r="A18" s="21">
        <v>15</v>
      </c>
      <c r="B18" s="94" t="s">
        <v>1419</v>
      </c>
      <c r="C18" s="94">
        <v>15</v>
      </c>
      <c r="D18" s="174"/>
      <c r="E18" s="236">
        <f>Exames_Dados[[#This Row],[VALOR UNIT]]*Exames_Dados[[#This Row],[QUANT]]</f>
        <v>0</v>
      </c>
      <c r="F18" s="236">
        <f>Exames_Valores[[#This Row],[VALOR MÊS ]]*12</f>
        <v>0</v>
      </c>
    </row>
    <row r="19" spans="1:6" x14ac:dyDescent="0.25">
      <c r="A19" s="21">
        <v>16</v>
      </c>
      <c r="B19" s="94" t="s">
        <v>1420</v>
      </c>
      <c r="C19" s="94">
        <v>15</v>
      </c>
      <c r="D19" s="174"/>
      <c r="E19" s="13">
        <f>Exames_Dados[[#This Row],[VALOR UNIT]]*Exames_Dados[[#This Row],[QUANT]]</f>
        <v>0</v>
      </c>
      <c r="F19" s="13">
        <f>Exames_Valores[[#This Row],[VALOR MÊS ]]*12</f>
        <v>0</v>
      </c>
    </row>
    <row r="20" spans="1:6" x14ac:dyDescent="0.25">
      <c r="A20" s="21">
        <v>17</v>
      </c>
      <c r="B20" s="94" t="s">
        <v>1421</v>
      </c>
      <c r="C20" s="94">
        <v>15</v>
      </c>
      <c r="D20" s="174"/>
      <c r="E20" s="236">
        <f>Exames_Dados[[#This Row],[VALOR UNIT]]*Exames_Dados[[#This Row],[QUANT]]</f>
        <v>0</v>
      </c>
      <c r="F20" s="236">
        <f>Exames_Valores[[#This Row],[VALOR MÊS ]]*12</f>
        <v>0</v>
      </c>
    </row>
    <row r="21" spans="1:6" x14ac:dyDescent="0.25">
      <c r="A21" s="21">
        <v>18</v>
      </c>
      <c r="B21" s="94" t="s">
        <v>1422</v>
      </c>
      <c r="C21" s="94">
        <v>15</v>
      </c>
      <c r="D21" s="174"/>
      <c r="E21" s="13">
        <f>Exames_Dados[[#This Row],[VALOR UNIT]]*Exames_Dados[[#This Row],[QUANT]]</f>
        <v>0</v>
      </c>
      <c r="F21" s="13">
        <f>Exames_Valores[[#This Row],[VALOR MÊS ]]*12</f>
        <v>0</v>
      </c>
    </row>
    <row r="22" spans="1:6" x14ac:dyDescent="0.25">
      <c r="A22" s="21">
        <v>19</v>
      </c>
      <c r="B22" s="94" t="s">
        <v>1521</v>
      </c>
      <c r="C22" s="94">
        <v>77</v>
      </c>
      <c r="D22" s="174"/>
      <c r="E22" s="236">
        <f>Exames_Dados[[#This Row],[VALOR UNIT]]*Exames_Dados[[#This Row],[QUANT]]</f>
        <v>0</v>
      </c>
      <c r="F22" s="236">
        <f>Exames_Valores[[#This Row],[VALOR MÊS ]]*12</f>
        <v>0</v>
      </c>
    </row>
    <row r="23" spans="1:6" x14ac:dyDescent="0.25">
      <c r="A23" s="21">
        <v>20</v>
      </c>
      <c r="B23" s="94" t="s">
        <v>1522</v>
      </c>
      <c r="C23" s="94">
        <v>77</v>
      </c>
      <c r="D23" s="174"/>
      <c r="E23" s="13">
        <f>Exames_Dados[[#This Row],[VALOR UNIT]]*Exames_Dados[[#This Row],[QUANT]]</f>
        <v>0</v>
      </c>
      <c r="F23" s="13">
        <f>Exames_Valores[[#This Row],[VALOR MÊS ]]*12</f>
        <v>0</v>
      </c>
    </row>
    <row r="24" spans="1:6" x14ac:dyDescent="0.25">
      <c r="A24" s="21">
        <v>21</v>
      </c>
      <c r="B24" s="94" t="s">
        <v>1423</v>
      </c>
      <c r="C24" s="94">
        <v>15</v>
      </c>
      <c r="D24" s="174"/>
      <c r="E24" s="236">
        <f>Exames_Dados[[#This Row],[VALOR UNIT]]*Exames_Dados[[#This Row],[QUANT]]</f>
        <v>0</v>
      </c>
      <c r="F24" s="236">
        <f>Exames_Valores[[#This Row],[VALOR MÊS ]]*12</f>
        <v>0</v>
      </c>
    </row>
    <row r="25" spans="1:6" x14ac:dyDescent="0.25">
      <c r="A25" s="21">
        <v>22</v>
      </c>
      <c r="B25" s="94" t="s">
        <v>1424</v>
      </c>
      <c r="C25" s="94">
        <v>15</v>
      </c>
      <c r="D25" s="174"/>
      <c r="E25" s="13">
        <f>Exames_Dados[[#This Row],[VALOR UNIT]]*Exames_Dados[[#This Row],[QUANT]]</f>
        <v>0</v>
      </c>
      <c r="F25" s="13">
        <f>Exames_Valores[[#This Row],[VALOR MÊS ]]*12</f>
        <v>0</v>
      </c>
    </row>
    <row r="26" spans="1:6" x14ac:dyDescent="0.25">
      <c r="A26" s="21">
        <v>23</v>
      </c>
      <c r="B26" s="94" t="s">
        <v>1425</v>
      </c>
      <c r="C26" s="94">
        <v>77</v>
      </c>
      <c r="D26" s="174"/>
      <c r="E26" s="236">
        <f>Exames_Dados[[#This Row],[VALOR UNIT]]*Exames_Dados[[#This Row],[QUANT]]</f>
        <v>0</v>
      </c>
      <c r="F26" s="236">
        <f>Exames_Valores[[#This Row],[VALOR MÊS ]]*12</f>
        <v>0</v>
      </c>
    </row>
    <row r="27" spans="1:6" x14ac:dyDescent="0.25">
      <c r="A27" s="21">
        <v>24</v>
      </c>
      <c r="B27" s="94" t="s">
        <v>1426</v>
      </c>
      <c r="C27" s="94">
        <v>835</v>
      </c>
      <c r="D27" s="174"/>
      <c r="E27" s="13">
        <f>Exames_Dados[[#This Row],[VALOR UNIT]]*Exames_Dados[[#This Row],[QUANT]]</f>
        <v>0</v>
      </c>
      <c r="F27" s="13">
        <f>Exames_Valores[[#This Row],[VALOR MÊS ]]*12</f>
        <v>0</v>
      </c>
    </row>
    <row r="28" spans="1:6" x14ac:dyDescent="0.25">
      <c r="A28" s="21">
        <v>25</v>
      </c>
      <c r="B28" s="94" t="s">
        <v>1427</v>
      </c>
      <c r="C28" s="94">
        <v>15</v>
      </c>
      <c r="D28" s="174"/>
      <c r="E28" s="236">
        <f>Exames_Dados[[#This Row],[VALOR UNIT]]*Exames_Dados[[#This Row],[QUANT]]</f>
        <v>0</v>
      </c>
      <c r="F28" s="236">
        <f>Exames_Valores[[#This Row],[VALOR MÊS ]]*12</f>
        <v>0</v>
      </c>
    </row>
    <row r="29" spans="1:6" x14ac:dyDescent="0.25">
      <c r="A29" s="21">
        <v>26</v>
      </c>
      <c r="B29" s="94" t="s">
        <v>1428</v>
      </c>
      <c r="C29" s="94">
        <v>15</v>
      </c>
      <c r="D29" s="174"/>
      <c r="E29" s="13">
        <f>Exames_Dados[[#This Row],[VALOR UNIT]]*Exames_Dados[[#This Row],[QUANT]]</f>
        <v>0</v>
      </c>
      <c r="F29" s="13">
        <f>Exames_Valores[[#This Row],[VALOR MÊS ]]*12</f>
        <v>0</v>
      </c>
    </row>
    <row r="30" spans="1:6" x14ac:dyDescent="0.25">
      <c r="A30" s="21">
        <v>27</v>
      </c>
      <c r="B30" s="94" t="s">
        <v>1429</v>
      </c>
      <c r="C30" s="94">
        <v>25</v>
      </c>
      <c r="D30" s="174"/>
      <c r="E30" s="236">
        <f>Exames_Dados[[#This Row],[VALOR UNIT]]*Exames_Dados[[#This Row],[QUANT]]</f>
        <v>0</v>
      </c>
      <c r="F30" s="236">
        <f>Exames_Valores[[#This Row],[VALOR MÊS ]]*12</f>
        <v>0</v>
      </c>
    </row>
    <row r="31" spans="1:6" x14ac:dyDescent="0.25">
      <c r="A31" s="21">
        <v>28</v>
      </c>
      <c r="B31" s="94" t="s">
        <v>1430</v>
      </c>
      <c r="C31" s="94">
        <v>25</v>
      </c>
      <c r="D31" s="174"/>
      <c r="E31" s="13">
        <f>Exames_Dados[[#This Row],[VALOR UNIT]]*Exames_Dados[[#This Row],[QUANT]]</f>
        <v>0</v>
      </c>
      <c r="F31" s="13">
        <f>Exames_Valores[[#This Row],[VALOR MÊS ]]*12</f>
        <v>0</v>
      </c>
    </row>
    <row r="32" spans="1:6" x14ac:dyDescent="0.25">
      <c r="A32" s="21">
        <v>29</v>
      </c>
      <c r="B32" s="94" t="s">
        <v>1431</v>
      </c>
      <c r="C32" s="94">
        <v>15</v>
      </c>
      <c r="D32" s="174"/>
      <c r="E32" s="236">
        <f>Exames_Dados[[#This Row],[VALOR UNIT]]*Exames_Dados[[#This Row],[QUANT]]</f>
        <v>0</v>
      </c>
      <c r="F32" s="236">
        <f>Exames_Valores[[#This Row],[VALOR MÊS ]]*12</f>
        <v>0</v>
      </c>
    </row>
    <row r="33" spans="1:6" x14ac:dyDescent="0.25">
      <c r="A33" s="21">
        <v>30</v>
      </c>
      <c r="B33" s="94" t="s">
        <v>1432</v>
      </c>
      <c r="C33" s="94">
        <v>15</v>
      </c>
      <c r="D33" s="174"/>
      <c r="E33" s="13">
        <f>Exames_Dados[[#This Row],[VALOR UNIT]]*Exames_Dados[[#This Row],[QUANT]]</f>
        <v>0</v>
      </c>
      <c r="F33" s="13">
        <f>Exames_Valores[[#This Row],[VALOR MÊS ]]*12</f>
        <v>0</v>
      </c>
    </row>
    <row r="34" spans="1:6" x14ac:dyDescent="0.25">
      <c r="A34" s="21">
        <v>31</v>
      </c>
      <c r="B34" s="94" t="s">
        <v>1433</v>
      </c>
      <c r="C34" s="94">
        <v>15</v>
      </c>
      <c r="D34" s="174"/>
      <c r="E34" s="236">
        <f>Exames_Dados[[#This Row],[VALOR UNIT]]*Exames_Dados[[#This Row],[QUANT]]</f>
        <v>0</v>
      </c>
      <c r="F34" s="236">
        <f>Exames_Valores[[#This Row],[VALOR MÊS ]]*12</f>
        <v>0</v>
      </c>
    </row>
    <row r="35" spans="1:6" x14ac:dyDescent="0.25">
      <c r="A35" s="21">
        <v>32</v>
      </c>
      <c r="B35" s="94" t="s">
        <v>1434</v>
      </c>
      <c r="C35" s="94">
        <v>835</v>
      </c>
      <c r="D35" s="174"/>
      <c r="E35" s="13">
        <f>Exames_Dados[[#This Row],[VALOR UNIT]]*Exames_Dados[[#This Row],[QUANT]]</f>
        <v>0</v>
      </c>
      <c r="F35" s="13">
        <f>Exames_Valores[[#This Row],[VALOR MÊS ]]*12</f>
        <v>0</v>
      </c>
    </row>
    <row r="36" spans="1:6" x14ac:dyDescent="0.25">
      <c r="A36" s="21">
        <v>33</v>
      </c>
      <c r="B36" s="94" t="s">
        <v>1435</v>
      </c>
      <c r="C36" s="94">
        <v>835</v>
      </c>
      <c r="D36" s="174"/>
      <c r="E36" s="236">
        <f>Exames_Dados[[#This Row],[VALOR UNIT]]*Exames_Dados[[#This Row],[QUANT]]</f>
        <v>0</v>
      </c>
      <c r="F36" s="236">
        <f>Exames_Valores[[#This Row],[VALOR MÊS ]]*12</f>
        <v>0</v>
      </c>
    </row>
    <row r="37" spans="1:6" x14ac:dyDescent="0.25">
      <c r="A37" s="21">
        <v>34</v>
      </c>
      <c r="B37" s="94" t="s">
        <v>1436</v>
      </c>
      <c r="C37" s="94">
        <v>835</v>
      </c>
      <c r="D37" s="174"/>
      <c r="E37" s="13">
        <f>Exames_Dados[[#This Row],[VALOR UNIT]]*Exames_Dados[[#This Row],[QUANT]]</f>
        <v>0</v>
      </c>
      <c r="F37" s="13">
        <f>Exames_Valores[[#This Row],[VALOR MÊS ]]*12</f>
        <v>0</v>
      </c>
    </row>
    <row r="38" spans="1:6" x14ac:dyDescent="0.25">
      <c r="A38" s="21">
        <v>35</v>
      </c>
      <c r="B38" s="94" t="s">
        <v>1437</v>
      </c>
      <c r="C38" s="94">
        <v>835</v>
      </c>
      <c r="D38" s="174"/>
      <c r="E38" s="236">
        <f>Exames_Dados[[#This Row],[VALOR UNIT]]*Exames_Dados[[#This Row],[QUANT]]</f>
        <v>0</v>
      </c>
      <c r="F38" s="236">
        <f>Exames_Valores[[#This Row],[VALOR MÊS ]]*12</f>
        <v>0</v>
      </c>
    </row>
    <row r="39" spans="1:6" x14ac:dyDescent="0.25">
      <c r="A39" s="21">
        <v>36</v>
      </c>
      <c r="B39" s="94" t="s">
        <v>1438</v>
      </c>
      <c r="C39" s="94">
        <v>15</v>
      </c>
      <c r="D39" s="174"/>
      <c r="E39" s="13">
        <f>Exames_Dados[[#This Row],[VALOR UNIT]]*Exames_Dados[[#This Row],[QUANT]]</f>
        <v>0</v>
      </c>
      <c r="F39" s="13">
        <f>Exames_Valores[[#This Row],[VALOR MÊS ]]*12</f>
        <v>0</v>
      </c>
    </row>
    <row r="40" spans="1:6" x14ac:dyDescent="0.25">
      <c r="A40" s="21">
        <v>37</v>
      </c>
      <c r="B40" s="94" t="s">
        <v>1439</v>
      </c>
      <c r="C40" s="94">
        <v>15</v>
      </c>
      <c r="D40" s="174"/>
      <c r="E40" s="236">
        <f>Exames_Dados[[#This Row],[VALOR UNIT]]*Exames_Dados[[#This Row],[QUANT]]</f>
        <v>0</v>
      </c>
      <c r="F40" s="236">
        <f>Exames_Valores[[#This Row],[VALOR MÊS ]]*12</f>
        <v>0</v>
      </c>
    </row>
    <row r="41" spans="1:6" x14ac:dyDescent="0.25">
      <c r="A41" s="21">
        <v>38</v>
      </c>
      <c r="B41" s="94" t="s">
        <v>1440</v>
      </c>
      <c r="C41" s="94">
        <v>77</v>
      </c>
      <c r="D41" s="174"/>
      <c r="E41" s="13">
        <f>Exames_Dados[[#This Row],[VALOR UNIT]]*Exames_Dados[[#This Row],[QUANT]]</f>
        <v>0</v>
      </c>
      <c r="F41" s="13">
        <f>Exames_Valores[[#This Row],[VALOR MÊS ]]*12</f>
        <v>0</v>
      </c>
    </row>
    <row r="42" spans="1:6" x14ac:dyDescent="0.25">
      <c r="A42" s="21">
        <v>39</v>
      </c>
      <c r="B42" s="94" t="s">
        <v>1441</v>
      </c>
      <c r="C42" s="94">
        <v>77</v>
      </c>
      <c r="D42" s="174"/>
      <c r="E42" s="236">
        <f>Exames_Dados[[#This Row],[VALOR UNIT]]*Exames_Dados[[#This Row],[QUANT]]</f>
        <v>0</v>
      </c>
      <c r="F42" s="236">
        <f>Exames_Valores[[#This Row],[VALOR MÊS ]]*12</f>
        <v>0</v>
      </c>
    </row>
    <row r="43" spans="1:6" x14ac:dyDescent="0.25">
      <c r="A43" s="21">
        <v>40</v>
      </c>
      <c r="B43" s="94" t="s">
        <v>1442</v>
      </c>
      <c r="C43" s="94">
        <v>2</v>
      </c>
      <c r="D43" s="174"/>
      <c r="E43" s="13">
        <f>Exames_Dados[[#This Row],[VALOR UNIT]]*Exames_Dados[[#This Row],[QUANT]]</f>
        <v>0</v>
      </c>
      <c r="F43" s="13">
        <f>Exames_Valores[[#This Row],[VALOR MÊS ]]*12</f>
        <v>0</v>
      </c>
    </row>
    <row r="44" spans="1:6" x14ac:dyDescent="0.25">
      <c r="A44" s="21">
        <v>41</v>
      </c>
      <c r="B44" s="94" t="s">
        <v>1443</v>
      </c>
      <c r="C44" s="94">
        <v>15</v>
      </c>
      <c r="D44" s="174"/>
      <c r="E44" s="236">
        <f>Exames_Dados[[#This Row],[VALOR UNIT]]*Exames_Dados[[#This Row],[QUANT]]</f>
        <v>0</v>
      </c>
      <c r="F44" s="236">
        <f>Exames_Valores[[#This Row],[VALOR MÊS ]]*12</f>
        <v>0</v>
      </c>
    </row>
    <row r="45" spans="1:6" x14ac:dyDescent="0.25">
      <c r="A45" s="21">
        <v>42</v>
      </c>
      <c r="B45" s="94" t="s">
        <v>1444</v>
      </c>
      <c r="C45" s="94">
        <v>15</v>
      </c>
      <c r="D45" s="174"/>
      <c r="E45" s="13">
        <f>Exames_Dados[[#This Row],[VALOR UNIT]]*Exames_Dados[[#This Row],[QUANT]]</f>
        <v>0</v>
      </c>
      <c r="F45" s="13">
        <f>Exames_Valores[[#This Row],[VALOR MÊS ]]*12</f>
        <v>0</v>
      </c>
    </row>
    <row r="46" spans="1:6" x14ac:dyDescent="0.25">
      <c r="A46" s="21">
        <v>43</v>
      </c>
      <c r="B46" s="94" t="s">
        <v>1445</v>
      </c>
      <c r="C46" s="94">
        <v>77</v>
      </c>
      <c r="D46" s="174"/>
      <c r="E46" s="236">
        <f>Exames_Dados[[#This Row],[VALOR UNIT]]*Exames_Dados[[#This Row],[QUANT]]</f>
        <v>0</v>
      </c>
      <c r="F46" s="236">
        <f>Exames_Valores[[#This Row],[VALOR MÊS ]]*12</f>
        <v>0</v>
      </c>
    </row>
    <row r="47" spans="1:6" x14ac:dyDescent="0.25">
      <c r="A47" s="21">
        <v>44</v>
      </c>
      <c r="B47" s="94" t="s">
        <v>1446</v>
      </c>
      <c r="C47" s="94">
        <v>15</v>
      </c>
      <c r="D47" s="174"/>
      <c r="E47" s="13">
        <f>Exames_Dados[[#This Row],[VALOR UNIT]]*Exames_Dados[[#This Row],[QUANT]]</f>
        <v>0</v>
      </c>
      <c r="F47" s="13">
        <f>Exames_Valores[[#This Row],[VALOR MÊS ]]*12</f>
        <v>0</v>
      </c>
    </row>
    <row r="48" spans="1:6" x14ac:dyDescent="0.25">
      <c r="A48" s="21">
        <v>45</v>
      </c>
      <c r="B48" s="94" t="s">
        <v>1447</v>
      </c>
      <c r="C48" s="94">
        <v>77</v>
      </c>
      <c r="D48" s="174"/>
      <c r="E48" s="236">
        <f>Exames_Dados[[#This Row],[VALOR UNIT]]*Exames_Dados[[#This Row],[QUANT]]</f>
        <v>0</v>
      </c>
      <c r="F48" s="236">
        <f>Exames_Valores[[#This Row],[VALOR MÊS ]]*12</f>
        <v>0</v>
      </c>
    </row>
    <row r="49" spans="1:6" x14ac:dyDescent="0.25">
      <c r="A49" s="21">
        <v>46</v>
      </c>
      <c r="B49" s="95" t="s">
        <v>1448</v>
      </c>
      <c r="C49" s="94">
        <v>84</v>
      </c>
      <c r="D49" s="174"/>
      <c r="E49" s="13">
        <f>Exames_Dados[[#This Row],[VALOR UNIT]]*Exames_Dados[[#This Row],[QUANT]]</f>
        <v>0</v>
      </c>
      <c r="F49" s="13">
        <f>Exames_Valores[[#This Row],[VALOR MÊS ]]*12</f>
        <v>0</v>
      </c>
    </row>
    <row r="50" spans="1:6" x14ac:dyDescent="0.25">
      <c r="A50" s="21">
        <v>47</v>
      </c>
      <c r="B50" s="95" t="s">
        <v>1449</v>
      </c>
      <c r="C50" s="94">
        <v>15</v>
      </c>
      <c r="D50" s="174"/>
      <c r="E50" s="236">
        <f>Exames_Dados[[#This Row],[VALOR UNIT]]*Exames_Dados[[#This Row],[QUANT]]</f>
        <v>0</v>
      </c>
      <c r="F50" s="236">
        <f>Exames_Valores[[#This Row],[VALOR MÊS ]]*12</f>
        <v>0</v>
      </c>
    </row>
    <row r="51" spans="1:6" x14ac:dyDescent="0.25">
      <c r="A51" s="21">
        <v>48</v>
      </c>
      <c r="B51" s="95" t="s">
        <v>1450</v>
      </c>
      <c r="C51" s="94">
        <v>835</v>
      </c>
      <c r="D51" s="174"/>
      <c r="E51" s="13">
        <f>Exames_Dados[[#This Row],[VALOR UNIT]]*Exames_Dados[[#This Row],[QUANT]]</f>
        <v>0</v>
      </c>
      <c r="F51" s="13">
        <f>Exames_Valores[[#This Row],[VALOR MÊS ]]*12</f>
        <v>0</v>
      </c>
    </row>
    <row r="52" spans="1:6" x14ac:dyDescent="0.25">
      <c r="A52" s="21">
        <v>49</v>
      </c>
      <c r="B52" s="95" t="s">
        <v>1451</v>
      </c>
      <c r="C52" s="94">
        <v>15</v>
      </c>
      <c r="D52" s="174"/>
      <c r="E52" s="236">
        <f>Exames_Dados[[#This Row],[VALOR UNIT]]*Exames_Dados[[#This Row],[QUANT]]</f>
        <v>0</v>
      </c>
      <c r="F52" s="236">
        <f>Exames_Valores[[#This Row],[VALOR MÊS ]]*12</f>
        <v>0</v>
      </c>
    </row>
    <row r="53" spans="1:6" x14ac:dyDescent="0.25">
      <c r="A53" s="21">
        <v>50</v>
      </c>
      <c r="B53" s="95" t="s">
        <v>1452</v>
      </c>
      <c r="C53" s="94">
        <v>15</v>
      </c>
      <c r="D53" s="174"/>
      <c r="E53" s="13">
        <f>Exames_Dados[[#This Row],[VALOR UNIT]]*Exames_Dados[[#This Row],[QUANT]]</f>
        <v>0</v>
      </c>
      <c r="F53" s="13">
        <f>Exames_Valores[[#This Row],[VALOR MÊS ]]*12</f>
        <v>0</v>
      </c>
    </row>
    <row r="54" spans="1:6" x14ac:dyDescent="0.25">
      <c r="A54" s="21">
        <v>51</v>
      </c>
      <c r="B54" s="95" t="s">
        <v>1453</v>
      </c>
      <c r="C54" s="94">
        <v>15</v>
      </c>
      <c r="D54" s="174"/>
      <c r="E54" s="236">
        <f>Exames_Dados[[#This Row],[VALOR UNIT]]*Exames_Dados[[#This Row],[QUANT]]</f>
        <v>0</v>
      </c>
      <c r="F54" s="236">
        <f>Exames_Valores[[#This Row],[VALOR MÊS ]]*12</f>
        <v>0</v>
      </c>
    </row>
    <row r="55" spans="1:6" x14ac:dyDescent="0.25">
      <c r="A55" s="21">
        <v>52</v>
      </c>
      <c r="B55" s="95" t="s">
        <v>1454</v>
      </c>
      <c r="C55" s="94">
        <v>15</v>
      </c>
      <c r="D55" s="174"/>
      <c r="E55" s="13">
        <f>Exames_Dados[[#This Row],[VALOR UNIT]]*Exames_Dados[[#This Row],[QUANT]]</f>
        <v>0</v>
      </c>
      <c r="F55" s="13">
        <f>Exames_Valores[[#This Row],[VALOR MÊS ]]*12</f>
        <v>0</v>
      </c>
    </row>
    <row r="56" spans="1:6" x14ac:dyDescent="0.25">
      <c r="A56" s="21">
        <v>53</v>
      </c>
      <c r="B56" s="95" t="s">
        <v>1455</v>
      </c>
      <c r="C56" s="94">
        <v>15</v>
      </c>
      <c r="D56" s="174"/>
      <c r="E56" s="236">
        <f>Exames_Dados[[#This Row],[VALOR UNIT]]*Exames_Dados[[#This Row],[QUANT]]</f>
        <v>0</v>
      </c>
      <c r="F56" s="236">
        <f>Exames_Valores[[#This Row],[VALOR MÊS ]]*12</f>
        <v>0</v>
      </c>
    </row>
    <row r="57" spans="1:6" x14ac:dyDescent="0.25">
      <c r="A57" s="21">
        <v>54</v>
      </c>
      <c r="B57" s="95" t="s">
        <v>1456</v>
      </c>
      <c r="C57" s="94">
        <v>15</v>
      </c>
      <c r="D57" s="174"/>
      <c r="E57" s="13">
        <f>Exames_Dados[[#This Row],[VALOR UNIT]]*Exames_Dados[[#This Row],[QUANT]]</f>
        <v>0</v>
      </c>
      <c r="F57" s="13">
        <f>Exames_Valores[[#This Row],[VALOR MÊS ]]*12</f>
        <v>0</v>
      </c>
    </row>
    <row r="58" spans="1:6" x14ac:dyDescent="0.25">
      <c r="A58" s="21">
        <v>55</v>
      </c>
      <c r="B58" s="95" t="s">
        <v>1457</v>
      </c>
      <c r="C58" s="94">
        <v>15</v>
      </c>
      <c r="D58" s="174"/>
      <c r="E58" s="236">
        <f>Exames_Dados[[#This Row],[VALOR UNIT]]*Exames_Dados[[#This Row],[QUANT]]</f>
        <v>0</v>
      </c>
      <c r="F58" s="236">
        <f>Exames_Valores[[#This Row],[VALOR MÊS ]]*12</f>
        <v>0</v>
      </c>
    </row>
    <row r="59" spans="1:6" x14ac:dyDescent="0.25">
      <c r="A59" s="21">
        <v>56</v>
      </c>
      <c r="B59" s="95" t="s">
        <v>1458</v>
      </c>
      <c r="C59" s="94">
        <v>15</v>
      </c>
      <c r="D59" s="174"/>
      <c r="E59" s="13">
        <f>Exames_Dados[[#This Row],[VALOR UNIT]]*Exames_Dados[[#This Row],[QUANT]]</f>
        <v>0</v>
      </c>
      <c r="F59" s="13">
        <f>Exames_Valores[[#This Row],[VALOR MÊS ]]*12</f>
        <v>0</v>
      </c>
    </row>
    <row r="60" spans="1:6" x14ac:dyDescent="0.25">
      <c r="A60" s="21">
        <v>57</v>
      </c>
      <c r="B60" s="95" t="s">
        <v>1459</v>
      </c>
      <c r="C60" s="94">
        <v>15</v>
      </c>
      <c r="D60" s="174"/>
      <c r="E60" s="236">
        <f>Exames_Dados[[#This Row],[VALOR UNIT]]*Exames_Dados[[#This Row],[QUANT]]</f>
        <v>0</v>
      </c>
      <c r="F60" s="236">
        <f>Exames_Valores[[#This Row],[VALOR MÊS ]]*12</f>
        <v>0</v>
      </c>
    </row>
    <row r="61" spans="1:6" x14ac:dyDescent="0.25">
      <c r="A61" s="21">
        <v>58</v>
      </c>
      <c r="B61" s="95" t="s">
        <v>1460</v>
      </c>
      <c r="C61" s="94">
        <v>835</v>
      </c>
      <c r="D61" s="174"/>
      <c r="E61" s="13">
        <f>Exames_Dados[[#This Row],[VALOR UNIT]]*Exames_Dados[[#This Row],[QUANT]]</f>
        <v>0</v>
      </c>
      <c r="F61" s="13">
        <f>Exames_Valores[[#This Row],[VALOR MÊS ]]*12</f>
        <v>0</v>
      </c>
    </row>
    <row r="62" spans="1:6" x14ac:dyDescent="0.25">
      <c r="A62" s="21">
        <v>59</v>
      </c>
      <c r="B62" s="95" t="s">
        <v>1461</v>
      </c>
      <c r="C62" s="94">
        <v>2</v>
      </c>
      <c r="D62" s="174"/>
      <c r="E62" s="236">
        <f>Exames_Dados[[#This Row],[VALOR UNIT]]*Exames_Dados[[#This Row],[QUANT]]</f>
        <v>0</v>
      </c>
      <c r="F62" s="236">
        <f>Exames_Valores[[#This Row],[VALOR MÊS ]]*12</f>
        <v>0</v>
      </c>
    </row>
    <row r="63" spans="1:6" x14ac:dyDescent="0.25">
      <c r="A63" s="21">
        <v>60</v>
      </c>
      <c r="B63" s="95" t="s">
        <v>1462</v>
      </c>
      <c r="C63" s="94">
        <v>2</v>
      </c>
      <c r="D63" s="174"/>
      <c r="E63" s="13">
        <f>Exames_Dados[[#This Row],[VALOR UNIT]]*Exames_Dados[[#This Row],[QUANT]]</f>
        <v>0</v>
      </c>
      <c r="F63" s="13">
        <f>Exames_Valores[[#This Row],[VALOR MÊS ]]*12</f>
        <v>0</v>
      </c>
    </row>
    <row r="64" spans="1:6" x14ac:dyDescent="0.25">
      <c r="A64" s="21">
        <v>61</v>
      </c>
      <c r="B64" s="95" t="s">
        <v>1463</v>
      </c>
      <c r="C64" s="94">
        <v>15</v>
      </c>
      <c r="D64" s="174"/>
      <c r="E64" s="236">
        <f>Exames_Dados[[#This Row],[VALOR UNIT]]*Exames_Dados[[#This Row],[QUANT]]</f>
        <v>0</v>
      </c>
      <c r="F64" s="236">
        <f>Exames_Valores[[#This Row],[VALOR MÊS ]]*12</f>
        <v>0</v>
      </c>
    </row>
    <row r="65" spans="1:6" x14ac:dyDescent="0.25">
      <c r="A65" s="21">
        <v>62</v>
      </c>
      <c r="B65" s="95" t="s">
        <v>1464</v>
      </c>
      <c r="C65" s="94">
        <v>77</v>
      </c>
      <c r="D65" s="174"/>
      <c r="E65" s="13">
        <f>Exames_Dados[[#This Row],[VALOR UNIT]]*Exames_Dados[[#This Row],[QUANT]]</f>
        <v>0</v>
      </c>
      <c r="F65" s="13">
        <f>Exames_Valores[[#This Row],[VALOR MÊS ]]*12</f>
        <v>0</v>
      </c>
    </row>
    <row r="66" spans="1:6" x14ac:dyDescent="0.25">
      <c r="A66" s="21">
        <v>63</v>
      </c>
      <c r="B66" s="95" t="s">
        <v>1465</v>
      </c>
      <c r="C66" s="94">
        <v>15</v>
      </c>
      <c r="D66" s="174"/>
      <c r="E66" s="236">
        <f>Exames_Dados[[#This Row],[VALOR UNIT]]*Exames_Dados[[#This Row],[QUANT]]</f>
        <v>0</v>
      </c>
      <c r="F66" s="236">
        <f>Exames_Valores[[#This Row],[VALOR MÊS ]]*12</f>
        <v>0</v>
      </c>
    </row>
    <row r="67" spans="1:6" x14ac:dyDescent="0.25">
      <c r="A67" s="21">
        <v>64</v>
      </c>
      <c r="B67" s="95" t="s">
        <v>1466</v>
      </c>
      <c r="C67" s="94">
        <v>15</v>
      </c>
      <c r="D67" s="174"/>
      <c r="E67" s="13">
        <f>Exames_Dados[[#This Row],[VALOR UNIT]]*Exames_Dados[[#This Row],[QUANT]]</f>
        <v>0</v>
      </c>
      <c r="F67" s="13">
        <f>Exames_Valores[[#This Row],[VALOR MÊS ]]*12</f>
        <v>0</v>
      </c>
    </row>
    <row r="68" spans="1:6" x14ac:dyDescent="0.25">
      <c r="A68" s="21">
        <v>65</v>
      </c>
      <c r="B68" s="95" t="s">
        <v>1467</v>
      </c>
      <c r="C68" s="94">
        <v>835</v>
      </c>
      <c r="D68" s="174"/>
      <c r="E68" s="236">
        <f>Exames_Dados[[#This Row],[VALOR UNIT]]*Exames_Dados[[#This Row],[QUANT]]</f>
        <v>0</v>
      </c>
      <c r="F68" s="236">
        <f>Exames_Valores[[#This Row],[VALOR MÊS ]]*12</f>
        <v>0</v>
      </c>
    </row>
    <row r="69" spans="1:6" x14ac:dyDescent="0.25">
      <c r="A69" s="21">
        <v>66</v>
      </c>
      <c r="B69" s="95" t="s">
        <v>1468</v>
      </c>
      <c r="C69" s="94">
        <v>37</v>
      </c>
      <c r="D69" s="174"/>
      <c r="E69" s="13">
        <f>Exames_Dados[[#This Row],[VALOR UNIT]]*Exames_Dados[[#This Row],[QUANT]]</f>
        <v>0</v>
      </c>
      <c r="F69" s="13">
        <f>Exames_Valores[[#This Row],[VALOR MÊS ]]*12</f>
        <v>0</v>
      </c>
    </row>
    <row r="70" spans="1:6" x14ac:dyDescent="0.25">
      <c r="A70" s="21">
        <v>67</v>
      </c>
      <c r="B70" s="95" t="s">
        <v>1469</v>
      </c>
      <c r="C70" s="94">
        <v>40</v>
      </c>
      <c r="D70" s="174"/>
      <c r="E70" s="236">
        <f>Exames_Dados[[#This Row],[VALOR UNIT]]*Exames_Dados[[#This Row],[QUANT]]</f>
        <v>0</v>
      </c>
      <c r="F70" s="236">
        <f>Exames_Valores[[#This Row],[VALOR MÊS ]]*12</f>
        <v>0</v>
      </c>
    </row>
    <row r="71" spans="1:6" x14ac:dyDescent="0.25">
      <c r="A71" s="21">
        <v>68</v>
      </c>
      <c r="B71" s="95" t="s">
        <v>1470</v>
      </c>
      <c r="C71" s="94">
        <v>835</v>
      </c>
      <c r="D71" s="174"/>
      <c r="E71" s="13">
        <f>Exames_Dados[[#This Row],[VALOR UNIT]]*Exames_Dados[[#This Row],[QUANT]]</f>
        <v>0</v>
      </c>
      <c r="F71" s="13">
        <f>Exames_Valores[[#This Row],[VALOR MÊS ]]*12</f>
        <v>0</v>
      </c>
    </row>
    <row r="72" spans="1:6" x14ac:dyDescent="0.25">
      <c r="A72" s="21">
        <v>69</v>
      </c>
      <c r="B72" s="95" t="s">
        <v>1471</v>
      </c>
      <c r="C72" s="94">
        <v>835</v>
      </c>
      <c r="D72" s="174"/>
      <c r="E72" s="236">
        <f>Exames_Dados[[#This Row],[VALOR UNIT]]*Exames_Dados[[#This Row],[QUANT]]</f>
        <v>0</v>
      </c>
      <c r="F72" s="236">
        <f>Exames_Valores[[#This Row],[VALOR MÊS ]]*12</f>
        <v>0</v>
      </c>
    </row>
    <row r="73" spans="1:6" x14ac:dyDescent="0.25">
      <c r="A73" s="21">
        <v>70</v>
      </c>
      <c r="B73" s="95" t="s">
        <v>1472</v>
      </c>
      <c r="C73" s="94">
        <v>15</v>
      </c>
      <c r="D73" s="174"/>
      <c r="E73" s="13">
        <f>Exames_Dados[[#This Row],[VALOR UNIT]]*Exames_Dados[[#This Row],[QUANT]]</f>
        <v>0</v>
      </c>
      <c r="F73" s="13">
        <f>Exames_Valores[[#This Row],[VALOR MÊS ]]*12</f>
        <v>0</v>
      </c>
    </row>
    <row r="74" spans="1:6" x14ac:dyDescent="0.25">
      <c r="A74" s="21">
        <v>71</v>
      </c>
      <c r="B74" s="95" t="s">
        <v>1473</v>
      </c>
      <c r="C74" s="94">
        <v>835</v>
      </c>
      <c r="D74" s="174"/>
      <c r="E74" s="236">
        <f>Exames_Dados[[#This Row],[VALOR UNIT]]*Exames_Dados[[#This Row],[QUANT]]</f>
        <v>0</v>
      </c>
      <c r="F74" s="236">
        <f>Exames_Valores[[#This Row],[VALOR MÊS ]]*12</f>
        <v>0</v>
      </c>
    </row>
    <row r="75" spans="1:6" x14ac:dyDescent="0.25">
      <c r="A75" s="21">
        <v>72</v>
      </c>
      <c r="B75" s="95" t="s">
        <v>1474</v>
      </c>
      <c r="C75" s="94">
        <v>58</v>
      </c>
      <c r="D75" s="174"/>
      <c r="E75" s="13">
        <f>Exames_Dados[[#This Row],[VALOR UNIT]]*Exames_Dados[[#This Row],[QUANT]]</f>
        <v>0</v>
      </c>
      <c r="F75" s="13">
        <f>Exames_Valores[[#This Row],[VALOR MÊS ]]*12</f>
        <v>0</v>
      </c>
    </row>
    <row r="76" spans="1:6" x14ac:dyDescent="0.25">
      <c r="A76" s="21">
        <v>73</v>
      </c>
      <c r="B76" s="95" t="s">
        <v>1475</v>
      </c>
      <c r="C76" s="94">
        <v>835</v>
      </c>
      <c r="D76" s="174"/>
      <c r="E76" s="236">
        <f>Exames_Dados[[#This Row],[VALOR UNIT]]*Exames_Dados[[#This Row],[QUANT]]</f>
        <v>0</v>
      </c>
      <c r="F76" s="236">
        <f>Exames_Valores[[#This Row],[VALOR MÊS ]]*12</f>
        <v>0</v>
      </c>
    </row>
    <row r="77" spans="1:6" x14ac:dyDescent="0.25">
      <c r="A77" s="21">
        <v>74</v>
      </c>
      <c r="B77" s="95" t="s">
        <v>1476</v>
      </c>
      <c r="C77" s="94">
        <v>15</v>
      </c>
      <c r="D77" s="174"/>
      <c r="E77" s="13">
        <f>Exames_Dados[[#This Row],[VALOR UNIT]]*Exames_Dados[[#This Row],[QUANT]]</f>
        <v>0</v>
      </c>
      <c r="F77" s="13">
        <f>Exames_Valores[[#This Row],[VALOR MÊS ]]*12</f>
        <v>0</v>
      </c>
    </row>
    <row r="78" spans="1:6" x14ac:dyDescent="0.25">
      <c r="A78" s="21">
        <v>75</v>
      </c>
      <c r="B78" s="95" t="s">
        <v>1477</v>
      </c>
      <c r="C78" s="94">
        <v>15</v>
      </c>
      <c r="D78" s="174"/>
      <c r="E78" s="236">
        <f>Exames_Dados[[#This Row],[VALOR UNIT]]*Exames_Dados[[#This Row],[QUANT]]</f>
        <v>0</v>
      </c>
      <c r="F78" s="236">
        <f>Exames_Valores[[#This Row],[VALOR MÊS ]]*12</f>
        <v>0</v>
      </c>
    </row>
    <row r="79" spans="1:6" x14ac:dyDescent="0.25">
      <c r="A79" s="21">
        <v>76</v>
      </c>
      <c r="B79" s="95" t="s">
        <v>1478</v>
      </c>
      <c r="C79" s="94">
        <v>2</v>
      </c>
      <c r="D79" s="174"/>
      <c r="E79" s="13">
        <f>Exames_Dados[[#This Row],[VALOR UNIT]]*Exames_Dados[[#This Row],[QUANT]]</f>
        <v>0</v>
      </c>
      <c r="F79" s="13">
        <f>Exames_Valores[[#This Row],[VALOR MÊS ]]*12</f>
        <v>0</v>
      </c>
    </row>
    <row r="80" spans="1:6" x14ac:dyDescent="0.25">
      <c r="A80" s="21">
        <v>77</v>
      </c>
      <c r="B80" s="95" t="s">
        <v>1479</v>
      </c>
      <c r="C80" s="94">
        <v>2</v>
      </c>
      <c r="D80" s="174"/>
      <c r="E80" s="236">
        <f>Exames_Dados[[#This Row],[VALOR UNIT]]*Exames_Dados[[#This Row],[QUANT]]</f>
        <v>0</v>
      </c>
      <c r="F80" s="236">
        <f>Exames_Valores[[#This Row],[VALOR MÊS ]]*12</f>
        <v>0</v>
      </c>
    </row>
    <row r="81" spans="1:6" x14ac:dyDescent="0.25">
      <c r="A81" s="21">
        <v>78</v>
      </c>
      <c r="B81" s="95" t="s">
        <v>1480</v>
      </c>
      <c r="C81" s="94">
        <v>15</v>
      </c>
      <c r="D81" s="174"/>
      <c r="E81" s="13">
        <f>Exames_Dados[[#This Row],[VALOR UNIT]]*Exames_Dados[[#This Row],[QUANT]]</f>
        <v>0</v>
      </c>
      <c r="F81" s="13">
        <f>Exames_Valores[[#This Row],[VALOR MÊS ]]*12</f>
        <v>0</v>
      </c>
    </row>
    <row r="82" spans="1:6" x14ac:dyDescent="0.25">
      <c r="A82" s="21">
        <v>79</v>
      </c>
      <c r="B82" s="95" t="s">
        <v>1481</v>
      </c>
      <c r="C82" s="94">
        <v>60</v>
      </c>
      <c r="D82" s="174"/>
      <c r="E82" s="236">
        <f>Exames_Dados[[#This Row],[VALOR UNIT]]*Exames_Dados[[#This Row],[QUANT]]</f>
        <v>0</v>
      </c>
      <c r="F82" s="236">
        <f>Exames_Valores[[#This Row],[VALOR MÊS ]]*12</f>
        <v>0</v>
      </c>
    </row>
    <row r="83" spans="1:6" x14ac:dyDescent="0.25">
      <c r="A83" s="21">
        <v>80</v>
      </c>
      <c r="B83" s="95" t="s">
        <v>1482</v>
      </c>
      <c r="C83" s="94">
        <v>40</v>
      </c>
      <c r="D83" s="174"/>
      <c r="E83" s="13">
        <f>Exames_Dados[[#This Row],[VALOR UNIT]]*Exames_Dados[[#This Row],[QUANT]]</f>
        <v>0</v>
      </c>
      <c r="F83" s="13">
        <f>Exames_Valores[[#This Row],[VALOR MÊS ]]*12</f>
        <v>0</v>
      </c>
    </row>
    <row r="84" spans="1:6" x14ac:dyDescent="0.25">
      <c r="A84" s="21">
        <v>81</v>
      </c>
      <c r="B84" s="95" t="s">
        <v>1523</v>
      </c>
      <c r="C84" s="94">
        <v>835</v>
      </c>
      <c r="D84" s="174"/>
      <c r="E84" s="236">
        <f>Exames_Dados[[#This Row],[VALOR UNIT]]*Exames_Dados[[#This Row],[QUANT]]</f>
        <v>0</v>
      </c>
      <c r="F84" s="236">
        <f>Exames_Valores[[#This Row],[VALOR MÊS ]]*12</f>
        <v>0</v>
      </c>
    </row>
    <row r="85" spans="1:6" x14ac:dyDescent="0.25">
      <c r="A85" s="21">
        <v>82</v>
      </c>
      <c r="B85" s="95" t="s">
        <v>1483</v>
      </c>
      <c r="C85" s="94">
        <v>15</v>
      </c>
      <c r="D85" s="174"/>
      <c r="E85" s="13">
        <f>Exames_Dados[[#This Row],[VALOR UNIT]]*Exames_Dados[[#This Row],[QUANT]]</f>
        <v>0</v>
      </c>
      <c r="F85" s="13">
        <f>Exames_Valores[[#This Row],[VALOR MÊS ]]*12</f>
        <v>0</v>
      </c>
    </row>
    <row r="86" spans="1:6" x14ac:dyDescent="0.25">
      <c r="A86" s="21">
        <v>83</v>
      </c>
      <c r="B86" s="95" t="s">
        <v>1484</v>
      </c>
      <c r="C86" s="94">
        <v>835</v>
      </c>
      <c r="D86" s="174"/>
      <c r="E86" s="236">
        <f>Exames_Dados[[#This Row],[VALOR UNIT]]*Exames_Dados[[#This Row],[QUANT]]</f>
        <v>0</v>
      </c>
      <c r="F86" s="236">
        <f>Exames_Valores[[#This Row],[VALOR MÊS ]]*12</f>
        <v>0</v>
      </c>
    </row>
    <row r="87" spans="1:6" x14ac:dyDescent="0.25">
      <c r="A87" s="21">
        <v>84</v>
      </c>
      <c r="B87" s="95" t="s">
        <v>1485</v>
      </c>
      <c r="C87" s="94">
        <v>835</v>
      </c>
      <c r="D87" s="174"/>
      <c r="E87" s="13">
        <f>Exames_Dados[[#This Row],[VALOR UNIT]]*Exames_Dados[[#This Row],[QUANT]]</f>
        <v>0</v>
      </c>
      <c r="F87" s="13">
        <f>Exames_Valores[[#This Row],[VALOR MÊS ]]*12</f>
        <v>0</v>
      </c>
    </row>
    <row r="88" spans="1:6" x14ac:dyDescent="0.25">
      <c r="A88" s="21">
        <v>85</v>
      </c>
      <c r="B88" s="95" t="s">
        <v>1486</v>
      </c>
      <c r="C88" s="94">
        <v>15</v>
      </c>
      <c r="D88" s="174"/>
      <c r="E88" s="236">
        <f>Exames_Dados[[#This Row],[VALOR UNIT]]*Exames_Dados[[#This Row],[QUANT]]</f>
        <v>0</v>
      </c>
      <c r="F88" s="236">
        <f>Exames_Valores[[#This Row],[VALOR MÊS ]]*12</f>
        <v>0</v>
      </c>
    </row>
    <row r="89" spans="1:6" x14ac:dyDescent="0.25">
      <c r="A89" s="21">
        <v>86</v>
      </c>
      <c r="B89" s="95" t="s">
        <v>1487</v>
      </c>
      <c r="C89" s="94">
        <v>835</v>
      </c>
      <c r="D89" s="174"/>
      <c r="E89" s="13">
        <f>Exames_Dados[[#This Row],[VALOR UNIT]]*Exames_Dados[[#This Row],[QUANT]]</f>
        <v>0</v>
      </c>
      <c r="F89" s="13">
        <f>Exames_Valores[[#This Row],[VALOR MÊS ]]*12</f>
        <v>0</v>
      </c>
    </row>
    <row r="90" spans="1:6" x14ac:dyDescent="0.25">
      <c r="A90" s="21">
        <v>87</v>
      </c>
      <c r="B90" s="95" t="s">
        <v>1488</v>
      </c>
      <c r="C90" s="94">
        <v>129</v>
      </c>
      <c r="D90" s="174"/>
      <c r="E90" s="236">
        <f>Exames_Dados[[#This Row],[VALOR UNIT]]*Exames_Dados[[#This Row],[QUANT]]</f>
        <v>0</v>
      </c>
      <c r="F90" s="236">
        <f>Exames_Valores[[#This Row],[VALOR MÊS ]]*12</f>
        <v>0</v>
      </c>
    </row>
    <row r="91" spans="1:6" x14ac:dyDescent="0.25">
      <c r="A91" s="21">
        <v>88</v>
      </c>
      <c r="B91" s="95" t="s">
        <v>1489</v>
      </c>
      <c r="C91" s="94">
        <v>15</v>
      </c>
      <c r="D91" s="174"/>
      <c r="E91" s="13">
        <f>Exames_Dados[[#This Row],[VALOR UNIT]]*Exames_Dados[[#This Row],[QUANT]]</f>
        <v>0</v>
      </c>
      <c r="F91" s="13">
        <f>Exames_Valores[[#This Row],[VALOR MÊS ]]*12</f>
        <v>0</v>
      </c>
    </row>
    <row r="92" spans="1:6" x14ac:dyDescent="0.25">
      <c r="A92" s="21">
        <v>89</v>
      </c>
      <c r="B92" s="95" t="s">
        <v>1490</v>
      </c>
      <c r="C92" s="94">
        <v>15</v>
      </c>
      <c r="D92" s="174"/>
      <c r="E92" s="236">
        <f>Exames_Dados[[#This Row],[VALOR UNIT]]*Exames_Dados[[#This Row],[QUANT]]</f>
        <v>0</v>
      </c>
      <c r="F92" s="236">
        <f>Exames_Valores[[#This Row],[VALOR MÊS ]]*12</f>
        <v>0</v>
      </c>
    </row>
    <row r="93" spans="1:6" x14ac:dyDescent="0.25">
      <c r="A93" s="21">
        <v>90</v>
      </c>
      <c r="B93" s="95" t="s">
        <v>1491</v>
      </c>
      <c r="C93" s="94">
        <v>15</v>
      </c>
      <c r="D93" s="174"/>
      <c r="E93" s="13">
        <f>Exames_Dados[[#This Row],[VALOR UNIT]]*Exames_Dados[[#This Row],[QUANT]]</f>
        <v>0</v>
      </c>
      <c r="F93" s="13">
        <f>Exames_Valores[[#This Row],[VALOR MÊS ]]*12</f>
        <v>0</v>
      </c>
    </row>
    <row r="94" spans="1:6" x14ac:dyDescent="0.25">
      <c r="A94" s="21">
        <v>91</v>
      </c>
      <c r="B94" s="95" t="s">
        <v>1492</v>
      </c>
      <c r="C94" s="94">
        <v>15</v>
      </c>
      <c r="D94" s="174"/>
      <c r="E94" s="236">
        <f>Exames_Dados[[#This Row],[VALOR UNIT]]*Exames_Dados[[#This Row],[QUANT]]</f>
        <v>0</v>
      </c>
      <c r="F94" s="236">
        <f>Exames_Valores[[#This Row],[VALOR MÊS ]]*12</f>
        <v>0</v>
      </c>
    </row>
    <row r="95" spans="1:6" x14ac:dyDescent="0.25">
      <c r="A95" s="21">
        <v>92</v>
      </c>
      <c r="B95" s="95" t="s">
        <v>1493</v>
      </c>
      <c r="C95" s="94">
        <v>15</v>
      </c>
      <c r="D95" s="174"/>
      <c r="E95" s="13">
        <f>Exames_Dados[[#This Row],[VALOR UNIT]]*Exames_Dados[[#This Row],[QUANT]]</f>
        <v>0</v>
      </c>
      <c r="F95" s="13">
        <f>Exames_Valores[[#This Row],[VALOR MÊS ]]*12</f>
        <v>0</v>
      </c>
    </row>
    <row r="96" spans="1:6" x14ac:dyDescent="0.25">
      <c r="A96" s="21">
        <v>93</v>
      </c>
      <c r="B96" s="95" t="s">
        <v>1494</v>
      </c>
      <c r="C96" s="94">
        <v>15</v>
      </c>
      <c r="D96" s="174"/>
      <c r="E96" s="236">
        <f>Exames_Dados[[#This Row],[VALOR UNIT]]*Exames_Dados[[#This Row],[QUANT]]</f>
        <v>0</v>
      </c>
      <c r="F96" s="236">
        <f>Exames_Valores[[#This Row],[VALOR MÊS ]]*12</f>
        <v>0</v>
      </c>
    </row>
    <row r="97" spans="1:6" x14ac:dyDescent="0.25">
      <c r="A97" s="21">
        <v>94</v>
      </c>
      <c r="B97" s="95" t="s">
        <v>1495</v>
      </c>
      <c r="C97" s="94">
        <v>15</v>
      </c>
      <c r="D97" s="174"/>
      <c r="E97" s="13">
        <f>Exames_Dados[[#This Row],[VALOR UNIT]]*Exames_Dados[[#This Row],[QUANT]]</f>
        <v>0</v>
      </c>
      <c r="F97" s="13">
        <f>Exames_Valores[[#This Row],[VALOR MÊS ]]*12</f>
        <v>0</v>
      </c>
    </row>
    <row r="98" spans="1:6" x14ac:dyDescent="0.25">
      <c r="A98" s="21">
        <v>95</v>
      </c>
      <c r="B98" s="95" t="s">
        <v>1496</v>
      </c>
      <c r="C98" s="94">
        <v>835</v>
      </c>
      <c r="D98" s="174"/>
      <c r="E98" s="236">
        <f>Exames_Dados[[#This Row],[VALOR UNIT]]*Exames_Dados[[#This Row],[QUANT]]</f>
        <v>0</v>
      </c>
      <c r="F98" s="236">
        <f>Exames_Valores[[#This Row],[VALOR MÊS ]]*12</f>
        <v>0</v>
      </c>
    </row>
    <row r="99" spans="1:6" x14ac:dyDescent="0.25">
      <c r="A99" s="21">
        <v>96</v>
      </c>
      <c r="B99" s="95" t="s">
        <v>1497</v>
      </c>
      <c r="C99" s="94">
        <v>38</v>
      </c>
      <c r="D99" s="174"/>
      <c r="E99" s="13">
        <f>Exames_Dados[[#This Row],[VALOR UNIT]]*Exames_Dados[[#This Row],[QUANT]]</f>
        <v>0</v>
      </c>
      <c r="F99" s="13">
        <f>Exames_Valores[[#This Row],[VALOR MÊS ]]*12</f>
        <v>0</v>
      </c>
    </row>
    <row r="100" spans="1:6" x14ac:dyDescent="0.25">
      <c r="A100" s="21">
        <v>97</v>
      </c>
      <c r="B100" s="95" t="s">
        <v>1498</v>
      </c>
      <c r="C100" s="94">
        <v>15</v>
      </c>
      <c r="D100" s="174"/>
      <c r="E100" s="236">
        <f>Exames_Dados[[#This Row],[VALOR UNIT]]*Exames_Dados[[#This Row],[QUANT]]</f>
        <v>0</v>
      </c>
      <c r="F100" s="236">
        <f>Exames_Valores[[#This Row],[VALOR MÊS ]]*12</f>
        <v>0</v>
      </c>
    </row>
    <row r="101" spans="1:6" x14ac:dyDescent="0.25">
      <c r="A101" s="21">
        <v>98</v>
      </c>
      <c r="B101" s="95" t="s">
        <v>1499</v>
      </c>
      <c r="C101" s="94">
        <v>52</v>
      </c>
      <c r="D101" s="174"/>
      <c r="E101" s="13">
        <f>Exames_Dados[[#This Row],[VALOR UNIT]]*Exames_Dados[[#This Row],[QUANT]]</f>
        <v>0</v>
      </c>
      <c r="F101" s="13">
        <f>Exames_Valores[[#This Row],[VALOR MÊS ]]*12</f>
        <v>0</v>
      </c>
    </row>
    <row r="102" spans="1:6" x14ac:dyDescent="0.25">
      <c r="A102" s="21">
        <v>99</v>
      </c>
      <c r="B102" s="95" t="s">
        <v>1500</v>
      </c>
      <c r="C102" s="94">
        <v>2</v>
      </c>
      <c r="D102" s="174"/>
      <c r="E102" s="236">
        <f>Exames_Dados[[#This Row],[VALOR UNIT]]*Exames_Dados[[#This Row],[QUANT]]</f>
        <v>0</v>
      </c>
      <c r="F102" s="236">
        <f>Exames_Valores[[#This Row],[VALOR MÊS ]]*12</f>
        <v>0</v>
      </c>
    </row>
    <row r="103" spans="1:6" x14ac:dyDescent="0.25">
      <c r="A103" s="21">
        <v>100</v>
      </c>
      <c r="B103" s="95" t="s">
        <v>1501</v>
      </c>
      <c r="C103" s="94">
        <v>2</v>
      </c>
      <c r="D103" s="174"/>
      <c r="E103" s="13">
        <f>Exames_Dados[[#This Row],[VALOR UNIT]]*Exames_Dados[[#This Row],[QUANT]]</f>
        <v>0</v>
      </c>
      <c r="F103" s="13">
        <f>Exames_Valores[[#This Row],[VALOR MÊS ]]*12</f>
        <v>0</v>
      </c>
    </row>
    <row r="104" spans="1:6" x14ac:dyDescent="0.25">
      <c r="A104" s="21">
        <v>101</v>
      </c>
      <c r="B104" s="95" t="s">
        <v>1502</v>
      </c>
      <c r="C104" s="94">
        <v>52</v>
      </c>
      <c r="D104" s="174"/>
      <c r="E104" s="236">
        <f>Exames_Dados[[#This Row],[VALOR UNIT]]*Exames_Dados[[#This Row],[QUANT]]</f>
        <v>0</v>
      </c>
      <c r="F104" s="236">
        <f>Exames_Valores[[#This Row],[VALOR MÊS ]]*12</f>
        <v>0</v>
      </c>
    </row>
    <row r="105" spans="1:6" x14ac:dyDescent="0.25">
      <c r="A105" s="21">
        <v>102</v>
      </c>
      <c r="B105" s="95" t="s">
        <v>1503</v>
      </c>
      <c r="C105" s="94">
        <v>2</v>
      </c>
      <c r="D105" s="174"/>
      <c r="E105" s="13">
        <f>Exames_Dados[[#This Row],[VALOR UNIT]]*Exames_Dados[[#This Row],[QUANT]]</f>
        <v>0</v>
      </c>
      <c r="F105" s="13">
        <f>Exames_Valores[[#This Row],[VALOR MÊS ]]*12</f>
        <v>0</v>
      </c>
    </row>
    <row r="106" spans="1:6" x14ac:dyDescent="0.25">
      <c r="A106" s="21">
        <v>103</v>
      </c>
      <c r="B106" s="95" t="s">
        <v>1504</v>
      </c>
      <c r="C106" s="94">
        <v>2</v>
      </c>
      <c r="D106" s="174"/>
      <c r="E106" s="236">
        <f>Exames_Dados[[#This Row],[VALOR UNIT]]*Exames_Dados[[#This Row],[QUANT]]</f>
        <v>0</v>
      </c>
      <c r="F106" s="236">
        <f>Exames_Valores[[#This Row],[VALOR MÊS ]]*12</f>
        <v>0</v>
      </c>
    </row>
    <row r="107" spans="1:6" x14ac:dyDescent="0.25">
      <c r="A107" s="21">
        <v>104</v>
      </c>
      <c r="B107" s="95" t="s">
        <v>1505</v>
      </c>
      <c r="C107" s="94">
        <v>835</v>
      </c>
      <c r="D107" s="174"/>
      <c r="E107" s="13">
        <f>Exames_Dados[[#This Row],[VALOR UNIT]]*Exames_Dados[[#This Row],[QUANT]]</f>
        <v>0</v>
      </c>
      <c r="F107" s="13">
        <f>Exames_Valores[[#This Row],[VALOR MÊS ]]*12</f>
        <v>0</v>
      </c>
    </row>
    <row r="108" spans="1:6" x14ac:dyDescent="0.25">
      <c r="A108" s="21">
        <v>105</v>
      </c>
      <c r="B108" s="95" t="s">
        <v>1506</v>
      </c>
      <c r="C108" s="94">
        <v>15</v>
      </c>
      <c r="D108" s="174"/>
      <c r="E108" s="236">
        <f>Exames_Dados[[#This Row],[VALOR UNIT]]*Exames_Dados[[#This Row],[QUANT]]</f>
        <v>0</v>
      </c>
      <c r="F108" s="236">
        <f>Exames_Valores[[#This Row],[VALOR MÊS ]]*12</f>
        <v>0</v>
      </c>
    </row>
    <row r="109" spans="1:6" x14ac:dyDescent="0.25">
      <c r="A109" s="21">
        <v>106</v>
      </c>
      <c r="B109" s="95" t="s">
        <v>1524</v>
      </c>
      <c r="C109" s="94">
        <v>835</v>
      </c>
      <c r="D109" s="174"/>
      <c r="E109" s="13">
        <f>Exames_Dados[[#This Row],[VALOR UNIT]]*Exames_Dados[[#This Row],[QUANT]]</f>
        <v>0</v>
      </c>
      <c r="F109" s="13">
        <f>Exames_Valores[[#This Row],[VALOR MÊS ]]*12</f>
        <v>0</v>
      </c>
    </row>
    <row r="110" spans="1:6" x14ac:dyDescent="0.25">
      <c r="A110" s="21">
        <v>107</v>
      </c>
      <c r="B110" s="95" t="s">
        <v>1507</v>
      </c>
      <c r="C110" s="94">
        <v>835</v>
      </c>
      <c r="D110" s="174"/>
      <c r="E110" s="236">
        <f>Exames_Dados[[#This Row],[VALOR UNIT]]*Exames_Dados[[#This Row],[QUANT]]</f>
        <v>0</v>
      </c>
      <c r="F110" s="236">
        <f>Exames_Valores[[#This Row],[VALOR MÊS ]]*12</f>
        <v>0</v>
      </c>
    </row>
    <row r="111" spans="1:6" x14ac:dyDescent="0.25">
      <c r="A111" s="21">
        <v>108</v>
      </c>
      <c r="B111" s="95" t="s">
        <v>1508</v>
      </c>
      <c r="C111" s="94">
        <v>835</v>
      </c>
      <c r="D111" s="174"/>
      <c r="E111" s="13">
        <f>Exames_Dados[[#This Row],[VALOR UNIT]]*Exames_Dados[[#This Row],[QUANT]]</f>
        <v>0</v>
      </c>
      <c r="F111" s="13">
        <f>Exames_Valores[[#This Row],[VALOR MÊS ]]*12</f>
        <v>0</v>
      </c>
    </row>
    <row r="112" spans="1:6" x14ac:dyDescent="0.25">
      <c r="A112" s="21">
        <v>109</v>
      </c>
      <c r="B112" s="95" t="s">
        <v>1509</v>
      </c>
      <c r="C112" s="94">
        <v>835</v>
      </c>
      <c r="D112" s="174"/>
      <c r="E112" s="236">
        <f>Exames_Dados[[#This Row],[VALOR UNIT]]*Exames_Dados[[#This Row],[QUANT]]</f>
        <v>0</v>
      </c>
      <c r="F112" s="236">
        <f>Exames_Valores[[#This Row],[VALOR MÊS ]]*12</f>
        <v>0</v>
      </c>
    </row>
    <row r="113" spans="1:6" x14ac:dyDescent="0.25">
      <c r="A113" s="21">
        <v>110</v>
      </c>
      <c r="B113" s="95" t="s">
        <v>1510</v>
      </c>
      <c r="C113" s="94">
        <v>15</v>
      </c>
      <c r="D113" s="174"/>
      <c r="E113" s="13">
        <f>Exames_Dados[[#This Row],[VALOR UNIT]]*Exames_Dados[[#This Row],[QUANT]]</f>
        <v>0</v>
      </c>
      <c r="F113" s="13">
        <f>Exames_Valores[[#This Row],[VALOR MÊS ]]*12</f>
        <v>0</v>
      </c>
    </row>
    <row r="114" spans="1:6" x14ac:dyDescent="0.25">
      <c r="A114" s="21">
        <v>111</v>
      </c>
      <c r="B114" s="95" t="s">
        <v>1511</v>
      </c>
      <c r="C114" s="94">
        <v>15</v>
      </c>
      <c r="D114" s="174"/>
      <c r="E114" s="236">
        <f>Exames_Dados[[#This Row],[VALOR UNIT]]*Exames_Dados[[#This Row],[QUANT]]</f>
        <v>0</v>
      </c>
      <c r="F114" s="236">
        <f>Exames_Valores[[#This Row],[VALOR MÊS ]]*12</f>
        <v>0</v>
      </c>
    </row>
    <row r="115" spans="1:6" x14ac:dyDescent="0.25">
      <c r="A115" s="21">
        <v>112</v>
      </c>
      <c r="B115" s="95" t="s">
        <v>1512</v>
      </c>
      <c r="C115" s="94">
        <v>15</v>
      </c>
      <c r="D115" s="174"/>
      <c r="E115" s="13">
        <f>Exames_Dados[[#This Row],[VALOR UNIT]]*Exames_Dados[[#This Row],[QUANT]]</f>
        <v>0</v>
      </c>
      <c r="F115" s="13">
        <f>Exames_Valores[[#This Row],[VALOR MÊS ]]*12</f>
        <v>0</v>
      </c>
    </row>
    <row r="116" spans="1:6" x14ac:dyDescent="0.25">
      <c r="A116" s="21">
        <v>113</v>
      </c>
      <c r="B116" s="95" t="s">
        <v>1513</v>
      </c>
      <c r="C116" s="94">
        <v>15</v>
      </c>
      <c r="D116" s="174"/>
      <c r="E116" s="236">
        <f>Exames_Dados[[#This Row],[VALOR UNIT]]*Exames_Dados[[#This Row],[QUANT]]</f>
        <v>0</v>
      </c>
      <c r="F116" s="236">
        <f>Exames_Valores[[#This Row],[VALOR MÊS ]]*12</f>
        <v>0</v>
      </c>
    </row>
    <row r="117" spans="1:6" x14ac:dyDescent="0.25">
      <c r="A117" s="21">
        <v>114</v>
      </c>
      <c r="B117" s="95" t="s">
        <v>1514</v>
      </c>
      <c r="C117" s="94">
        <v>15</v>
      </c>
      <c r="D117" s="174"/>
      <c r="E117" s="13">
        <f>Exames_Dados[[#This Row],[VALOR UNIT]]*Exames_Dados[[#This Row],[QUANT]]</f>
        <v>0</v>
      </c>
      <c r="F117" s="13">
        <f>Exames_Valores[[#This Row],[VALOR MÊS ]]*12</f>
        <v>0</v>
      </c>
    </row>
    <row r="118" spans="1:6" x14ac:dyDescent="0.25">
      <c r="A118" s="21">
        <v>115</v>
      </c>
      <c r="B118" s="95" t="s">
        <v>1515</v>
      </c>
      <c r="C118" s="94">
        <v>15</v>
      </c>
      <c r="D118" s="174"/>
      <c r="E118" s="236">
        <f>Exames_Dados[[#This Row],[VALOR UNIT]]*Exames_Dados[[#This Row],[QUANT]]</f>
        <v>0</v>
      </c>
      <c r="F118" s="236">
        <f>Exames_Valores[[#This Row],[VALOR MÊS ]]*12</f>
        <v>0</v>
      </c>
    </row>
    <row r="119" spans="1:6" x14ac:dyDescent="0.25">
      <c r="A119" s="21">
        <v>116</v>
      </c>
      <c r="B119" s="95" t="s">
        <v>1525</v>
      </c>
      <c r="C119" s="94">
        <v>2</v>
      </c>
      <c r="D119" s="174"/>
      <c r="E119" s="13">
        <f>Exames_Dados[[#This Row],[VALOR UNIT]]*Exames_Dados[[#This Row],[QUANT]]</f>
        <v>0</v>
      </c>
      <c r="F119" s="13">
        <f>Exames_Valores[[#This Row],[VALOR MÊS ]]*12</f>
        <v>0</v>
      </c>
    </row>
    <row r="120" spans="1:6" x14ac:dyDescent="0.25">
      <c r="A120" s="21">
        <v>117</v>
      </c>
      <c r="B120" s="95" t="s">
        <v>1516</v>
      </c>
      <c r="C120" s="94">
        <v>835</v>
      </c>
      <c r="D120" s="174"/>
      <c r="E120" s="236">
        <f>Exames_Dados[[#This Row],[VALOR UNIT]]*Exames_Dados[[#This Row],[QUANT]]</f>
        <v>0</v>
      </c>
      <c r="F120" s="236">
        <f>Exames_Valores[[#This Row],[VALOR MÊS ]]*12</f>
        <v>0</v>
      </c>
    </row>
    <row r="121" spans="1:6" x14ac:dyDescent="0.25">
      <c r="A121" s="21"/>
      <c r="C121" s="144">
        <f>SUBTOTAL(109,Exames_Dados[QUANT])</f>
        <v>24029</v>
      </c>
      <c r="D121" s="137"/>
      <c r="E121" s="138">
        <f>SUBTOTAL(109,Exames_Valores[[VALOR MÊS ]])</f>
        <v>0</v>
      </c>
      <c r="F121" s="138">
        <f>SUBTOTAL(109,F4:F120)</f>
        <v>0</v>
      </c>
    </row>
    <row r="123" spans="1:6" x14ac:dyDescent="0.25">
      <c r="B123" s="96"/>
    </row>
    <row r="124" spans="1:6" x14ac:dyDescent="0.25">
      <c r="B124" s="96"/>
    </row>
    <row r="125" spans="1:6" x14ac:dyDescent="0.25">
      <c r="B125" s="96"/>
    </row>
  </sheetData>
  <sheetProtection algorithmName="SHA-512" hashValue="wPuDJrcFnqfjF6DwwWnFK3AQHjtICTTnxDF3qwkS5kOZIeW4vM4ZF9kRL+d4Bgy1rnsjKAIMAVFkd2GsQxRWSw==" saltValue="n0niayNJxoJV1l9WONEoIg==" spinCount="100000" sheet="1" objects="1" scenarios="1" selectLockedCells="1"/>
  <mergeCells count="1">
    <mergeCell ref="A1:F2"/>
  </mergeCells>
  <pageMargins left="3.0708661417322838" right="0.70866141732283472" top="0.74803149606299213" bottom="0.74803149606299213" header="0.31496062992125984" footer="0.31496062992125984"/>
  <pageSetup paperSize="8" orientation="landscape"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20</vt:i4>
      </vt:variant>
    </vt:vector>
  </HeadingPairs>
  <TitlesOfParts>
    <vt:vector size="20" baseType="lpstr">
      <vt:lpstr>SUMÁRIO EXECUTIVO</vt:lpstr>
      <vt:lpstr>CONSOLIDADO</vt:lpstr>
      <vt:lpstr>Pessoal Assistencial </vt:lpstr>
      <vt:lpstr>Custeio Administrativo</vt:lpstr>
      <vt:lpstr>Medicamentos</vt:lpstr>
      <vt:lpstr>Material de Consumo</vt:lpstr>
      <vt:lpstr>Odonto e Material de Consumo</vt:lpstr>
      <vt:lpstr>Odonto Instrumental Recorrente</vt:lpstr>
      <vt:lpstr>Exames Laboratoriais</vt:lpstr>
      <vt:lpstr>Manutenção</vt:lpstr>
      <vt:lpstr>Serviços de Apoio</vt:lpstr>
      <vt:lpstr>Estruturação de Informática</vt:lpstr>
      <vt:lpstr>Material de Saúde</vt:lpstr>
      <vt:lpstr>Saúde Instrumental</vt:lpstr>
      <vt:lpstr>Odonto Instrumental</vt:lpstr>
      <vt:lpstr>Montagem Sala de Vacina</vt:lpstr>
      <vt:lpstr>Montagem Consultório Odonto</vt:lpstr>
      <vt:lpstr>Montagem Central Ambulâncias</vt:lpstr>
      <vt:lpstr>Montagem Ambulatório</vt:lpstr>
      <vt:lpstr>Especificações das Adequações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Santana Consultoria</dc:creator>
  <cp:lastModifiedBy>Renan Reis Pinto</cp:lastModifiedBy>
  <cp:lastPrinted>2017-07-21T12:44:33Z</cp:lastPrinted>
  <dcterms:created xsi:type="dcterms:W3CDTF">2016-11-02T17:14:31Z</dcterms:created>
  <dcterms:modified xsi:type="dcterms:W3CDTF">2017-07-21T12:51:30Z</dcterms:modified>
</cp:coreProperties>
</file>